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570" windowWidth="9720" windowHeight="6870" tabRatio="960" firstSheet="3" activeTab="4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</sheets>
  <definedNames>
    <definedName name="_xlnm.Print_Titles" localSheetId="3">ИБР!$A:$B</definedName>
    <definedName name="_xlnm.Print_Area" localSheetId="4">'2 часть дотации'!$A$1:$I$25</definedName>
  </definedNames>
  <calcPr calcId="145621"/>
</workbook>
</file>

<file path=xl/calcChain.xml><?xml version="1.0" encoding="utf-8"?>
<calcChain xmlns="http://schemas.openxmlformats.org/spreadsheetml/2006/main">
  <c r="H17" i="3" l="1"/>
  <c r="J17" i="3" l="1"/>
  <c r="I17" i="3"/>
  <c r="D4" i="5" l="1"/>
  <c r="D11" i="5" l="1"/>
  <c r="S9" i="6" l="1"/>
  <c r="U9" i="6"/>
  <c r="W9" i="6"/>
  <c r="Y9" i="6"/>
  <c r="AA9" i="6"/>
  <c r="B9" i="5" l="1"/>
  <c r="F15" i="2" l="1"/>
  <c r="M15" i="2"/>
  <c r="N15" i="2"/>
  <c r="AI10" i="6" l="1"/>
  <c r="AI11" i="6"/>
  <c r="AI12" i="6"/>
  <c r="AI13" i="6"/>
  <c r="AI14" i="6"/>
  <c r="AI15" i="6"/>
  <c r="AI16" i="6"/>
  <c r="AI17" i="6"/>
  <c r="AI18" i="6"/>
  <c r="AI9" i="6"/>
  <c r="AH19" i="6"/>
  <c r="D10" i="2" l="1"/>
  <c r="O10" i="6" l="1"/>
  <c r="O11" i="6"/>
  <c r="O12" i="6"/>
  <c r="O13" i="6"/>
  <c r="O14" i="6"/>
  <c r="O15" i="6"/>
  <c r="O16" i="6"/>
  <c r="O17" i="6"/>
  <c r="O18" i="6"/>
  <c r="O9" i="6"/>
  <c r="M10" i="6"/>
  <c r="M11" i="6"/>
  <c r="M12" i="6"/>
  <c r="M13" i="6"/>
  <c r="M14" i="6"/>
  <c r="M15" i="6"/>
  <c r="M16" i="6"/>
  <c r="M17" i="6"/>
  <c r="M18" i="6"/>
  <c r="M9" i="6"/>
  <c r="AG10" i="6"/>
  <c r="AG11" i="6"/>
  <c r="AG12" i="6"/>
  <c r="AG13" i="6"/>
  <c r="AG14" i="6"/>
  <c r="AG15" i="6"/>
  <c r="AG16" i="6"/>
  <c r="AG17" i="6"/>
  <c r="AG18" i="6"/>
  <c r="AG9" i="6"/>
  <c r="AF19" i="6"/>
  <c r="AD19" i="6"/>
  <c r="AE10" i="6"/>
  <c r="AE11" i="6"/>
  <c r="AE12" i="6"/>
  <c r="AE13" i="6"/>
  <c r="AE14" i="6"/>
  <c r="AE15" i="6"/>
  <c r="AE16" i="6"/>
  <c r="AE17" i="6"/>
  <c r="AE18" i="6"/>
  <c r="AE9" i="6"/>
  <c r="AC10" i="6"/>
  <c r="AC11" i="6"/>
  <c r="AC12" i="6"/>
  <c r="AC13" i="6"/>
  <c r="AC14" i="6"/>
  <c r="AC15" i="6"/>
  <c r="AC16" i="6"/>
  <c r="AC17" i="6"/>
  <c r="AC18" i="6"/>
  <c r="AC9" i="6"/>
  <c r="N19" i="6"/>
  <c r="L19" i="6"/>
  <c r="AA10" i="6"/>
  <c r="AA11" i="6"/>
  <c r="AA12" i="6"/>
  <c r="AA13" i="6"/>
  <c r="AA14" i="6"/>
  <c r="AA15" i="6"/>
  <c r="AA16" i="6"/>
  <c r="AA17" i="6"/>
  <c r="AA18" i="6"/>
  <c r="AB19" i="6"/>
  <c r="Z19" i="6"/>
  <c r="Y10" i="6"/>
  <c r="Y11" i="6"/>
  <c r="Y12" i="6"/>
  <c r="Y13" i="6"/>
  <c r="Y14" i="6"/>
  <c r="Y15" i="6"/>
  <c r="Y16" i="6"/>
  <c r="Y17" i="6"/>
  <c r="Y18" i="6"/>
  <c r="W10" i="6"/>
  <c r="W11" i="6"/>
  <c r="W12" i="6"/>
  <c r="W13" i="6"/>
  <c r="W14" i="6"/>
  <c r="W15" i="6"/>
  <c r="W16" i="6"/>
  <c r="W17" i="6"/>
  <c r="W18" i="6"/>
  <c r="AG19" i="6" l="1"/>
  <c r="AE19" i="6"/>
  <c r="AC19" i="6"/>
  <c r="AA19" i="6"/>
  <c r="D17" i="5"/>
  <c r="X19" i="6" l="1"/>
  <c r="B5" i="5"/>
  <c r="D15" i="5"/>
  <c r="Y19" i="6" l="1"/>
  <c r="D9" i="5" l="1"/>
  <c r="D10" i="5" l="1"/>
  <c r="B10" i="5"/>
  <c r="D15" i="2" l="1"/>
  <c r="V19" i="6" l="1"/>
  <c r="U10" i="6"/>
  <c r="U11" i="6"/>
  <c r="U12" i="6"/>
  <c r="U13" i="6"/>
  <c r="U14" i="6"/>
  <c r="U15" i="6"/>
  <c r="U16" i="6"/>
  <c r="U17" i="6"/>
  <c r="U18" i="6"/>
  <c r="T19" i="6"/>
  <c r="R19" i="6" l="1"/>
  <c r="S10" i="6"/>
  <c r="S11" i="6"/>
  <c r="S12" i="6"/>
  <c r="S13" i="6"/>
  <c r="S14" i="6"/>
  <c r="S15" i="6"/>
  <c r="S16" i="6"/>
  <c r="S17" i="6"/>
  <c r="S18" i="6"/>
  <c r="Q13" i="6" l="1"/>
  <c r="Q14" i="6"/>
  <c r="Q15" i="6"/>
  <c r="Q16" i="6"/>
  <c r="Q17" i="6"/>
  <c r="Q18" i="6"/>
  <c r="Q12" i="6"/>
  <c r="Q11" i="6"/>
  <c r="Q10" i="6"/>
  <c r="Q9" i="6"/>
  <c r="K19" i="6" l="1"/>
  <c r="W19" i="6" l="1"/>
  <c r="U19" i="6"/>
  <c r="S19" i="6"/>
  <c r="C10" i="6" l="1"/>
  <c r="C11" i="6"/>
  <c r="C12" i="6"/>
  <c r="C13" i="6"/>
  <c r="C14" i="6"/>
  <c r="C15" i="6"/>
  <c r="C16" i="6"/>
  <c r="C17" i="6"/>
  <c r="C18" i="6"/>
  <c r="C9" i="6"/>
  <c r="C8" i="3"/>
  <c r="C9" i="3"/>
  <c r="C10" i="3"/>
  <c r="C11" i="3"/>
  <c r="C12" i="3"/>
  <c r="C13" i="3"/>
  <c r="C14" i="3"/>
  <c r="C15" i="3"/>
  <c r="C16" i="3"/>
  <c r="C7" i="3"/>
  <c r="F7" i="3" s="1"/>
  <c r="C11" i="2"/>
  <c r="C12" i="2"/>
  <c r="C13" i="2"/>
  <c r="C14" i="2"/>
  <c r="C15" i="2"/>
  <c r="C16" i="2"/>
  <c r="C17" i="2"/>
  <c r="C18" i="2"/>
  <c r="C19" i="2"/>
  <c r="C10" i="2"/>
  <c r="M19" i="6" l="1"/>
  <c r="M8" i="3"/>
  <c r="N8" i="3" s="1"/>
  <c r="D19" i="5"/>
  <c r="D18" i="5" s="1"/>
  <c r="B18" i="5" s="1"/>
  <c r="B4" i="5"/>
  <c r="B6" i="5" s="1"/>
  <c r="R17" i="3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D19" i="6"/>
  <c r="O17" i="3"/>
  <c r="C19" i="6"/>
  <c r="E17" i="3"/>
  <c r="K20" i="2"/>
  <c r="H20" i="2"/>
  <c r="E20" i="2"/>
  <c r="D20" i="2"/>
  <c r="F12" i="2" s="1"/>
  <c r="G20" i="2"/>
  <c r="J20" i="2"/>
  <c r="C17" i="1"/>
  <c r="D7" i="1" s="1"/>
  <c r="D17" i="3"/>
  <c r="C17" i="3"/>
  <c r="C20" i="2"/>
  <c r="D12" i="1"/>
  <c r="F16" i="3"/>
  <c r="F15" i="3"/>
  <c r="F14" i="3"/>
  <c r="F13" i="3"/>
  <c r="F12" i="3"/>
  <c r="F11" i="3"/>
  <c r="F10" i="3"/>
  <c r="F9" i="3"/>
  <c r="F8" i="3"/>
  <c r="N7" i="3"/>
  <c r="L12" i="2" l="1"/>
  <c r="S12" i="3"/>
  <c r="S7" i="3"/>
  <c r="K8" i="3"/>
  <c r="F19" i="2"/>
  <c r="F18" i="2"/>
  <c r="F11" i="2"/>
  <c r="F10" i="2"/>
  <c r="Q8" i="3"/>
  <c r="S13" i="3"/>
  <c r="B16" i="5"/>
  <c r="F14" i="2"/>
  <c r="B17" i="5"/>
  <c r="F17" i="2"/>
  <c r="F13" i="2"/>
  <c r="Q13" i="3"/>
  <c r="F16" i="2"/>
  <c r="S17" i="3"/>
  <c r="B15" i="5"/>
  <c r="P16" i="3"/>
  <c r="Q14" i="3"/>
  <c r="I18" i="2"/>
  <c r="P8" i="3"/>
  <c r="P12" i="3"/>
  <c r="Q12" i="3"/>
  <c r="P13" i="3"/>
  <c r="Q11" i="3"/>
  <c r="K12" i="3"/>
  <c r="K10" i="3"/>
  <c r="Q7" i="3"/>
  <c r="P17" i="3"/>
  <c r="P7" i="3"/>
  <c r="P14" i="3"/>
  <c r="P10" i="3"/>
  <c r="Q16" i="3"/>
  <c r="Q15" i="3"/>
  <c r="K17" i="3"/>
  <c r="K16" i="3"/>
  <c r="K14" i="3"/>
  <c r="S11" i="3"/>
  <c r="S16" i="3"/>
  <c r="Q17" i="3"/>
  <c r="P9" i="3"/>
  <c r="Q9" i="3"/>
  <c r="S15" i="3"/>
  <c r="F17" i="3"/>
  <c r="G15" i="3" s="1"/>
  <c r="S8" i="3"/>
  <c r="S9" i="3"/>
  <c r="P15" i="3"/>
  <c r="P11" i="3"/>
  <c r="S10" i="3"/>
  <c r="S14" i="3"/>
  <c r="Q10" i="3"/>
  <c r="K15" i="3"/>
  <c r="K9" i="3"/>
  <c r="K7" i="3"/>
  <c r="K11" i="3"/>
  <c r="K13" i="3"/>
  <c r="L14" i="2"/>
  <c r="L15" i="2"/>
  <c r="L19" i="2"/>
  <c r="I12" i="2"/>
  <c r="I17" i="2"/>
  <c r="I16" i="2"/>
  <c r="D9" i="1"/>
  <c r="D14" i="1"/>
  <c r="D10" i="1"/>
  <c r="D11" i="1"/>
  <c r="D16" i="1"/>
  <c r="D13" i="1"/>
  <c r="D15" i="1"/>
  <c r="D8" i="1"/>
  <c r="I13" i="2"/>
  <c r="E19" i="6"/>
  <c r="L17" i="2"/>
  <c r="L11" i="2"/>
  <c r="L18" i="2"/>
  <c r="L13" i="2"/>
  <c r="I11" i="2"/>
  <c r="I15" i="2"/>
  <c r="I19" i="2"/>
  <c r="I10" i="2"/>
  <c r="I14" i="2"/>
  <c r="L10" i="2"/>
  <c r="L16" i="2"/>
  <c r="E13" i="6"/>
  <c r="E15" i="6"/>
  <c r="E11" i="6"/>
  <c r="E18" i="6"/>
  <c r="E14" i="6"/>
  <c r="E10" i="6"/>
  <c r="E9" i="6"/>
  <c r="E16" i="6"/>
  <c r="E12" i="6"/>
  <c r="E17" i="6"/>
  <c r="M12" i="2" l="1"/>
  <c r="T7" i="3"/>
  <c r="B19" i="5"/>
  <c r="M19" i="2"/>
  <c r="M17" i="2"/>
  <c r="T13" i="3"/>
  <c r="F20" i="2"/>
  <c r="T10" i="3"/>
  <c r="T16" i="3"/>
  <c r="T14" i="3"/>
  <c r="G9" i="3"/>
  <c r="L9" i="3" s="1"/>
  <c r="M18" i="2"/>
  <c r="M14" i="2"/>
  <c r="I20" i="2"/>
  <c r="M11" i="2"/>
  <c r="T8" i="3"/>
  <c r="T11" i="3"/>
  <c r="T15" i="3"/>
  <c r="T12" i="3"/>
  <c r="L15" i="3"/>
  <c r="T9" i="3"/>
  <c r="G17" i="3"/>
  <c r="L17" i="3" s="1"/>
  <c r="G14" i="3"/>
  <c r="L14" i="3" s="1"/>
  <c r="G10" i="3"/>
  <c r="L10" i="3" s="1"/>
  <c r="G11" i="3"/>
  <c r="L11" i="3" s="1"/>
  <c r="G16" i="3"/>
  <c r="L16" i="3" s="1"/>
  <c r="G12" i="3"/>
  <c r="L12" i="3" s="1"/>
  <c r="G13" i="3"/>
  <c r="L13" i="3" s="1"/>
  <c r="G7" i="3"/>
  <c r="L7" i="3" s="1"/>
  <c r="G8" i="3"/>
  <c r="L8" i="3" s="1"/>
  <c r="M16" i="2"/>
  <c r="M13" i="2"/>
  <c r="D17" i="1"/>
  <c r="L20" i="2"/>
  <c r="M10" i="2"/>
  <c r="U13" i="3" l="1"/>
  <c r="U12" i="3"/>
  <c r="U11" i="3"/>
  <c r="U7" i="3"/>
  <c r="U8" i="3"/>
  <c r="U16" i="3"/>
  <c r="U15" i="3"/>
  <c r="U10" i="3"/>
  <c r="U14" i="3"/>
  <c r="U9" i="3"/>
  <c r="M20" i="2"/>
  <c r="N14" i="2" s="1"/>
  <c r="N10" i="2" l="1"/>
  <c r="F9" i="6" s="1"/>
  <c r="G9" i="6" s="1"/>
  <c r="N11" i="2"/>
  <c r="F10" i="6" s="1"/>
  <c r="G10" i="6" s="1"/>
  <c r="N20" i="2"/>
  <c r="N18" i="2"/>
  <c r="F17" i="6" s="1"/>
  <c r="G17" i="6" s="1"/>
  <c r="N12" i="2"/>
  <c r="F11" i="6" s="1"/>
  <c r="G11" i="6" s="1"/>
  <c r="N19" i="2"/>
  <c r="F18" i="6" s="1"/>
  <c r="G18" i="6" s="1"/>
  <c r="N17" i="2"/>
  <c r="F16" i="6" s="1"/>
  <c r="G16" i="6" s="1"/>
  <c r="F13" i="6"/>
  <c r="G13" i="6" s="1"/>
  <c r="N16" i="2"/>
  <c r="F15" i="6" s="1"/>
  <c r="G15" i="6" s="1"/>
  <c r="F14" i="6"/>
  <c r="G14" i="6" s="1"/>
  <c r="N13" i="2"/>
  <c r="F12" i="6" s="1"/>
  <c r="G12" i="6" s="1"/>
  <c r="H10" i="6" l="1"/>
  <c r="I10" i="6" s="1"/>
  <c r="H12" i="6"/>
  <c r="I12" i="6" s="1"/>
  <c r="H18" i="6"/>
  <c r="I18" i="6" s="1"/>
  <c r="H13" i="6"/>
  <c r="I13" i="6" s="1"/>
  <c r="H9" i="6"/>
  <c r="I9" i="6" s="1"/>
  <c r="H14" i="6"/>
  <c r="I14" i="6" s="1"/>
  <c r="H11" i="6"/>
  <c r="I11" i="6" s="1"/>
  <c r="H16" i="6"/>
  <c r="I16" i="6" s="1"/>
  <c r="H15" i="6"/>
  <c r="I15" i="6" s="1"/>
  <c r="H17" i="6"/>
  <c r="I17" i="6" s="1"/>
  <c r="G19" i="6"/>
  <c r="O19" i="6" s="1"/>
  <c r="I19" i="6" l="1"/>
  <c r="H19" i="6"/>
  <c r="P19" i="6" l="1"/>
  <c r="Q19" i="6" s="1"/>
</calcChain>
</file>

<file path=xl/sharedStrings.xml><?xml version="1.0" encoding="utf-8"?>
<sst xmlns="http://schemas.openxmlformats.org/spreadsheetml/2006/main" count="138" uniqueCount="90">
  <si>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</si>
  <si>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</si>
  <si>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</si>
  <si>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</si>
  <si>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</si>
  <si>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</si>
  <si>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</si>
  <si>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</si>
  <si>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</si>
  <si>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</si>
  <si>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</si>
  <si>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</si>
  <si>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</si>
  <si>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</si>
  <si>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</si>
  <si>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</si>
  <si>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</si>
  <si>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</si>
  <si>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</si>
  <si>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</si>
  <si>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</si>
  <si>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</si>
  <si>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</si>
  <si>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</si>
  <si>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</si>
  <si>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</si>
  <si>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</si>
  <si>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</si>
  <si>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</si>
  <si>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</si>
  <si>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</si>
  <si>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</si>
  <si>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</si>
  <si>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</si>
  <si>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</si>
  <si>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</si>
  <si>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</si>
  <si>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</si>
  <si>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</si>
  <si>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</si>
  <si>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</si>
  <si>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</si>
  <si>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</si>
  <si>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</si>
  <si>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</si>
  <si>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</si>
  <si>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</si>
  <si>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</si>
  <si>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</si>
  <si>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</si>
  <si>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</si>
  <si>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</si>
  <si>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</si>
  <si>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</si>
  <si>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Удельный вес сельского населения</t>
  </si>
  <si>
    <t>ВК 0,6</t>
  </si>
  <si>
    <t xml:space="preserve"> 0,7</t>
  </si>
  <si>
    <t>откл</t>
  </si>
  <si>
    <t>Численность постоянного населения, чел. На 01.01.2020</t>
  </si>
  <si>
    <t>Численность постоянного сельского населения, на 01.01.2020 года /чел.</t>
  </si>
  <si>
    <t>Численность постоянного населения, проживающего в населенных пунктах с численностью населения не более 500 чел., на 01.01.2020 года /  чел.</t>
  </si>
  <si>
    <t>Численность постоянного населения, на 01.01.2020 года/ чел.</t>
  </si>
  <si>
    <t>Площадь жилого фонда по состоянию на 01.01.2020 года, тыс.кв.м</t>
  </si>
  <si>
    <t>Протяженность дорог, км на 01.01.2020 года</t>
  </si>
  <si>
    <t>Налог на доходы физических лиц (форма 5-НДФЛ за 2019 год), руб.</t>
  </si>
  <si>
    <t>Налог на имущество физических лиц (форма 5-МН за 2019 год), тыс.руб.</t>
  </si>
  <si>
    <t>Земельный налог (форма 5-МН за 2019 год), тыс.руб.</t>
  </si>
  <si>
    <t>Фактическое исполнение за 2019 год (без учета целевых средств)</t>
  </si>
  <si>
    <t>2020</t>
  </si>
  <si>
    <t>была не убрана целевка по 0503</t>
  </si>
  <si>
    <t>Численность постоянного населения на 01.01.2020 года, чел.</t>
  </si>
  <si>
    <t>надо поправить в соответствии с п.2 ст. 11 132-оз</t>
  </si>
  <si>
    <t>Часть дотации в сумме 61739,0 тыс.руб.  равна объему субвенции на</t>
  </si>
  <si>
    <t>0 при росте фонда</t>
  </si>
  <si>
    <t xml:space="preserve"> (без учета целевых средств)</t>
  </si>
  <si>
    <t>Параметры распределения районного фонда финансовой поддержки поселений на 2023 год</t>
  </si>
  <si>
    <t>Расчет размера первой части дотации на 2023 год</t>
  </si>
  <si>
    <t>Размер первой части дотации на 2023 год, тыс.руб.</t>
  </si>
  <si>
    <t>Налог на доходы физических лиц (прогноз поступлений на 2023 год), тыс.руб.</t>
  </si>
  <si>
    <t>Налог на имущество физических лиц (прогноз поступлений на 2023 год), тыс.руб.</t>
  </si>
  <si>
    <t>Земельный налог (прогноз поступлений на 2023 год), тыс.руб.</t>
  </si>
  <si>
    <t>Расчет индекса налогового потенциала поселений на 2023 год</t>
  </si>
  <si>
    <t>Расчет индекса бюджетных расходов на 2023 год</t>
  </si>
  <si>
    <t>Экономически обоснованный тариф на водоснабжение и водоотведение, руб. за куб.м на 2023 год</t>
  </si>
  <si>
    <t>Экономически обоснованный тариф на теплоснабжение, руб. за Гкал. на 2023 год</t>
  </si>
  <si>
    <t>Экономически обоснованный тариф на электроснабжение, за кВТ.час на 2023 год</t>
  </si>
  <si>
    <t>Расчет размера второй части дотации на 2023 год</t>
  </si>
  <si>
    <t>Прогноз налоговых доходов на 2023 год, тыс.руб.</t>
  </si>
  <si>
    <t>Размер второй части дотации на выравнивание бюджетной обеспеченности на 2023 год, тыс.руб.</t>
  </si>
  <si>
    <t>Размер дотации на выравнивание бюджетной обеспеченности на 2023 год,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</si>
</sst>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%"/>
    <numFmt numFmtId="166" formatCode="#,##0.0"/>
    <numFmt numFmtId="167" formatCode="#,##0.0000"/>
  </numFmts>
  <fonts count="2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sz val="15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5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3" fontId="14" fillId="2" borderId="1" xfId="0" applyNumberFormat="1" applyFont="1" applyFill="1" applyBorder="1"/>
    <xf numFmtId="0" fontId="5" fillId="0" borderId="0" xfId="0" applyFont="1" applyFill="1"/>
    <xf numFmtId="166" fontId="5" fillId="0" borderId="1" xfId="0" applyNumberFormat="1" applyFont="1" applyFill="1" applyBorder="1"/>
    <xf numFmtId="3" fontId="15" fillId="0" borderId="1" xfId="0" applyNumberFormat="1" applyFont="1" applyFill="1" applyBorder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/>
    <xf numFmtId="0" fontId="9" fillId="0" borderId="1" xfId="0" applyFont="1" applyFill="1" applyBorder="1"/>
    <xf numFmtId="165" fontId="9" fillId="0" borderId="1" xfId="0" applyNumberFormat="1" applyFont="1" applyFill="1" applyBorder="1"/>
    <xf numFmtId="10" fontId="9" fillId="0" borderId="1" xfId="0" applyNumberFormat="1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8" fillId="0" borderId="1" xfId="0" applyFont="1" applyFill="1" applyBorder="1"/>
    <xf numFmtId="0" fontId="0" fillId="0" borderId="1" xfId="0" applyFill="1" applyBorder="1"/>
    <xf numFmtId="164" fontId="15" fillId="0" borderId="1" xfId="0" applyNumberFormat="1" applyFont="1" applyFill="1" applyBorder="1"/>
    <xf numFmtId="164" fontId="14" fillId="0" borderId="1" xfId="0" applyNumberFormat="1" applyFont="1" applyFill="1" applyBorder="1"/>
    <xf numFmtId="0" fontId="13" fillId="0" borderId="1" xfId="0" applyFont="1" applyFill="1" applyBorder="1"/>
    <xf numFmtId="166" fontId="15" fillId="0" borderId="1" xfId="0" applyNumberFormat="1" applyFont="1" applyFill="1" applyBorder="1"/>
    <xf numFmtId="0" fontId="12" fillId="0" borderId="1" xfId="0" applyFont="1" applyFill="1" applyBorder="1"/>
    <xf numFmtId="3" fontId="14" fillId="0" borderId="1" xfId="0" applyNumberFormat="1" applyFont="1" applyFill="1" applyBorder="1"/>
    <xf numFmtId="166" fontId="14" fillId="0" borderId="1" xfId="0" applyNumberFormat="1" applyFont="1" applyFill="1" applyBorder="1"/>
    <xf numFmtId="0" fontId="3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49" fontId="16" fillId="3" borderId="0" xfId="0" applyNumberFormat="1" applyFont="1" applyFill="1" applyAlignment="1">
      <alignment horizontal="right" wrapText="1"/>
    </xf>
    <xf numFmtId="49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horizontal="right" wrapText="1"/>
    </xf>
    <xf numFmtId="49" fontId="16" fillId="4" borderId="0" xfId="0" applyNumberFormat="1" applyFont="1" applyFill="1" applyAlignment="1">
      <alignment horizontal="right" wrapText="1"/>
    </xf>
    <xf numFmtId="2" fontId="16" fillId="4" borderId="0" xfId="0" applyNumberFormat="1" applyFont="1" applyFill="1" applyAlignment="1">
      <alignment wrapText="1"/>
    </xf>
    <xf numFmtId="2" fontId="20" fillId="4" borderId="0" xfId="0" applyNumberFormat="1" applyFont="1" applyFill="1" applyAlignment="1">
      <alignment wrapText="1"/>
    </xf>
    <xf numFmtId="166" fontId="0" fillId="2" borderId="0" xfId="0" applyNumberFormat="1" applyFill="1"/>
    <xf numFmtId="0" fontId="21" fillId="2" borderId="0" xfId="0" applyFont="1" applyFill="1"/>
    <xf numFmtId="2" fontId="16" fillId="4" borderId="0" xfId="0" applyNumberFormat="1" applyFont="1" applyFill="1" applyAlignment="1">
      <alignment horizontal="right" wrapText="1"/>
    </xf>
    <xf numFmtId="166" fontId="16" fillId="2" borderId="0" xfId="0" applyNumberFormat="1" applyFont="1" applyFill="1"/>
    <xf numFmtId="166" fontId="1" fillId="2" borderId="0" xfId="0" applyNumberFormat="1" applyFont="1" applyFill="1"/>
    <xf numFmtId="166" fontId="16" fillId="3" borderId="0" xfId="0" applyNumberFormat="1" applyFont="1" applyFill="1"/>
    <xf numFmtId="166" fontId="16" fillId="4" borderId="0" xfId="0" applyNumberFormat="1" applyFont="1" applyFill="1"/>
    <xf numFmtId="0" fontId="16" fillId="3" borderId="0" xfId="0" applyFont="1" applyFill="1"/>
    <xf numFmtId="4" fontId="16" fillId="4" borderId="0" xfId="0" applyNumberFormat="1" applyFont="1" applyFill="1"/>
    <xf numFmtId="4" fontId="16" fillId="3" borderId="0" xfId="0" applyNumberFormat="1" applyFont="1" applyFill="1"/>
    <xf numFmtId="4" fontId="20" fillId="4" borderId="0" xfId="0" applyNumberFormat="1" applyFont="1" applyFill="1"/>
    <xf numFmtId="166" fontId="11" fillId="3" borderId="0" xfId="0" applyNumberFormat="1" applyFont="1" applyFill="1"/>
    <xf numFmtId="4" fontId="11" fillId="4" borderId="0" xfId="0" applyNumberFormat="1" applyFont="1" applyFill="1"/>
    <xf numFmtId="4" fontId="11" fillId="3" borderId="0" xfId="0" applyNumberFormat="1" applyFont="1" applyFill="1"/>
    <xf numFmtId="166" fontId="11" fillId="4" borderId="0" xfId="0" applyNumberFormat="1" applyFont="1" applyFill="1"/>
    <xf numFmtId="4" fontId="22" fillId="4" borderId="0" xfId="0" applyNumberFormat="1" applyFont="1" applyFill="1"/>
    <xf numFmtId="166" fontId="11" fillId="2" borderId="0" xfId="0" applyNumberFormat="1" applyFont="1" applyFill="1"/>
    <xf numFmtId="4" fontId="16" fillId="4" borderId="0" xfId="0" applyNumberFormat="1" applyFont="1" applyFill="1" applyAlignment="1">
      <alignment wrapText="1"/>
    </xf>
    <xf numFmtId="4" fontId="11" fillId="4" borderId="0" xfId="0" applyNumberFormat="1" applyFont="1" applyFill="1" applyAlignment="1">
      <alignment wrapText="1"/>
    </xf>
    <xf numFmtId="49" fontId="16" fillId="5" borderId="0" xfId="0" applyNumberFormat="1" applyFont="1" applyFill="1" applyAlignment="1">
      <alignment horizontal="right" wrapText="1"/>
    </xf>
    <xf numFmtId="166" fontId="16" fillId="5" borderId="0" xfId="0" applyNumberFormat="1" applyFont="1" applyFill="1"/>
    <xf numFmtId="166" fontId="11" fillId="5" borderId="0" xfId="0" applyNumberFormat="1" applyFont="1" applyFill="1"/>
    <xf numFmtId="167" fontId="16" fillId="4" borderId="0" xfId="0" applyNumberFormat="1" applyFont="1" applyFill="1"/>
    <xf numFmtId="3" fontId="5" fillId="0" borderId="1" xfId="0" applyNumberFormat="1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166" fontId="4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165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23" fillId="2" borderId="1" xfId="0" applyNumberFormat="1" applyFont="1" applyFill="1" applyBorder="1"/>
    <xf numFmtId="164" fontId="23" fillId="0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3" fontId="9" fillId="2" borderId="1" xfId="0" applyNumberFormat="1" applyFont="1" applyFill="1" applyBorder="1"/>
    <xf numFmtId="166" fontId="9" fillId="2" borderId="1" xfId="0" applyNumberFormat="1" applyFont="1" applyFill="1" applyBorder="1"/>
    <xf numFmtId="0" fontId="1" fillId="2" borderId="1" xfId="0" applyFont="1" applyFill="1" applyBorder="1"/>
    <xf numFmtId="164" fontId="4" fillId="2" borderId="1" xfId="0" applyNumberFormat="1" applyFont="1" applyFill="1" applyBorder="1"/>
    <xf numFmtId="3" fontId="15" fillId="2" borderId="1" xfId="0" applyNumberFormat="1" applyFont="1" applyFill="1" applyBorder="1"/>
    <xf numFmtId="0" fontId="15" fillId="2" borderId="1" xfId="0" applyFont="1" applyFill="1" applyBorder="1"/>
    <xf numFmtId="165" fontId="15" fillId="2" borderId="1" xfId="0" applyNumberFormat="1" applyFont="1" applyFill="1" applyBorder="1"/>
    <xf numFmtId="164" fontId="15" fillId="2" borderId="1" xfId="0" applyNumberFormat="1" applyFont="1" applyFill="1" applyBorder="1"/>
    <xf numFmtId="4" fontId="15" fillId="2" borderId="1" xfId="0" applyNumberFormat="1" applyFont="1" applyFill="1" applyBorder="1"/>
    <xf numFmtId="165" fontId="14" fillId="2" borderId="1" xfId="0" applyNumberFormat="1" applyFont="1" applyFill="1" applyBorder="1"/>
    <xf numFmtId="164" fontId="1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4" fontId="15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2" xfId="0" applyFont="1" applyFill="1" applyBorder="1" applyAlignment="1">
      <alignment horizontal="center" wrapText="1"/>
    </xf>
    <xf numFmtId="0" fontId="9" fillId="0" borderId="6" xfId="0" applyFont="1" applyFill="1" applyBorder="1" applyAlignment="1"/>
    <xf numFmtId="0" fontId="23" fillId="2" borderId="3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2" fontId="11" fillId="0" borderId="1" xfId="0" applyNumberFormat="1" applyFont="1" applyFill="1" applyBorder="1" applyAlignment="1">
      <alignment horizontal="center" vertical="center" wrapText="1"/>
    </xf>
  </cellXfs>
  <cellStyles count="2">
    <cellStyle name="Normal_ФФПМР_ИБР_Ставрополь_2006 4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9"/>
  <sheetViews>
    <sheetView view="pageBreakPreview" topLeftCell="A7" zoomScale="60" zoomScaleNormal="75" workbookViewId="0">
      <selection activeCell="S9" sqref="S9"/>
    </sheetView>
  </sheetViews>
  <sheetFormatPr defaultColWidth="9.140625" defaultRowHeight="18" x14ac:dyDescent="0.25"/>
  <cols>
    <col min="1" max="1" width="52.85546875" style="6" customWidth="1"/>
    <col min="2" max="2" width="28.7109375" style="6" customWidth="1"/>
    <col min="3" max="3" width="9.140625" style="6"/>
    <col min="4" max="4" width="34" style="6" customWidth="1"/>
    <col min="5" max="5" width="0" style="6" hidden="1" customWidth="1"/>
    <col min="6" max="6" width="27.7109375" style="6" hidden="1" customWidth="1"/>
    <col min="7" max="7" width="24.42578125" style="6" hidden="1" customWidth="1"/>
    <col min="8" max="9" width="21" style="6" hidden="1" customWidth="1"/>
    <col min="10" max="10" width="15.85546875" style="6" hidden="1" customWidth="1"/>
    <col min="11" max="11" width="22.140625" style="6" hidden="1" customWidth="1"/>
    <col min="12" max="12" width="18" style="6" hidden="1" customWidth="1"/>
    <col min="13" max="14" width="22.28515625" style="6" hidden="1" customWidth="1"/>
    <col min="15" max="15" width="20.5703125" style="6" hidden="1" customWidth="1"/>
    <col min="16" max="17" width="0" style="6" hidden="1" customWidth="1"/>
    <col min="18" max="16384" width="9.140625" style="6"/>
  </cols>
  <sheetData>
    <row r="2" spans="1:17" ht="66" customHeight="1" x14ac:dyDescent="0.35">
      <c r="A2" s="114" t="s">
        <v>75</v>
      </c>
      <c r="B2" s="115"/>
      <c r="C2" s="115"/>
      <c r="D2" s="115"/>
    </row>
    <row r="3" spans="1:17" ht="20.25" x14ac:dyDescent="0.3">
      <c r="A3" s="10"/>
      <c r="B3" s="10"/>
      <c r="C3" s="10"/>
      <c r="D3" s="10"/>
      <c r="I3" s="24"/>
      <c r="J3" s="24"/>
      <c r="K3" s="24"/>
      <c r="L3" s="24"/>
      <c r="M3" s="24"/>
      <c r="N3" s="24"/>
      <c r="O3" s="24"/>
    </row>
    <row r="4" spans="1:17" ht="81" x14ac:dyDescent="0.3">
      <c r="A4" s="31" t="s">
        <v>45</v>
      </c>
      <c r="B4" s="11">
        <f>D4</f>
        <v>277608.8</v>
      </c>
      <c r="C4" s="32"/>
      <c r="D4" s="12">
        <f>99416.8+116453+61739</f>
        <v>277608.8</v>
      </c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81" x14ac:dyDescent="0.3">
      <c r="A5" s="31" t="s">
        <v>46</v>
      </c>
      <c r="B5" s="11">
        <f>62405.4-666.4</f>
        <v>61739</v>
      </c>
      <c r="C5" s="32"/>
      <c r="D5" s="112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81" x14ac:dyDescent="0.3">
      <c r="A6" s="31" t="s">
        <v>47</v>
      </c>
      <c r="B6" s="11">
        <f>B4-B5</f>
        <v>215869.8</v>
      </c>
      <c r="C6" s="32"/>
      <c r="D6" s="113"/>
      <c r="F6" s="60" t="s">
        <v>71</v>
      </c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0.25" x14ac:dyDescent="0.3">
      <c r="A7" s="33"/>
      <c r="B7" s="33"/>
      <c r="C7" s="32"/>
      <c r="D7" s="32"/>
    </row>
    <row r="8" spans="1:17" ht="81.75" customHeight="1" x14ac:dyDescent="0.3">
      <c r="A8" s="108" t="s">
        <v>20</v>
      </c>
      <c r="B8" s="109"/>
      <c r="C8" s="32"/>
      <c r="D8" s="50" t="s">
        <v>67</v>
      </c>
      <c r="F8" s="51"/>
    </row>
    <row r="9" spans="1:17" ht="199.5" customHeight="1" x14ac:dyDescent="0.3">
      <c r="A9" s="31" t="s">
        <v>48</v>
      </c>
      <c r="B9" s="34">
        <f>D9/D11</f>
        <v>0.43721007051783695</v>
      </c>
      <c r="C9" s="32"/>
      <c r="D9" s="90">
        <f>252804.7</f>
        <v>252804.7</v>
      </c>
    </row>
    <row r="10" spans="1:17" ht="121.5" x14ac:dyDescent="0.3">
      <c r="A10" s="31" t="s">
        <v>52</v>
      </c>
      <c r="B10" s="34">
        <f>D10/D11</f>
        <v>5.6309623025738352E-2</v>
      </c>
      <c r="C10" s="32"/>
      <c r="D10" s="90">
        <f>29760.68+2798.811</f>
        <v>32559.491000000002</v>
      </c>
    </row>
    <row r="11" spans="1:17" ht="20.25" x14ac:dyDescent="0.3">
      <c r="A11" s="31" t="s">
        <v>44</v>
      </c>
      <c r="B11" s="35"/>
      <c r="C11" s="32"/>
      <c r="D11" s="90">
        <f>461540.4+247421.7-298551.3+167811.7</f>
        <v>578222.50000000012</v>
      </c>
    </row>
    <row r="12" spans="1:17" ht="20.25" x14ac:dyDescent="0.3">
      <c r="A12" s="32"/>
      <c r="B12" s="32"/>
      <c r="C12" s="32"/>
      <c r="D12" s="16"/>
    </row>
    <row r="13" spans="1:17" ht="20.25" x14ac:dyDescent="0.3">
      <c r="A13" s="32"/>
      <c r="B13" s="32"/>
      <c r="C13" s="32"/>
      <c r="D13" s="16"/>
    </row>
    <row r="14" spans="1:17" ht="40.5" customHeight="1" x14ac:dyDescent="0.3">
      <c r="A14" s="110" t="s">
        <v>19</v>
      </c>
      <c r="B14" s="111"/>
      <c r="C14" s="32"/>
      <c r="D14" s="17" t="s">
        <v>74</v>
      </c>
    </row>
    <row r="15" spans="1:17" ht="81" x14ac:dyDescent="0.3">
      <c r="A15" s="31" t="s">
        <v>49</v>
      </c>
      <c r="B15" s="34">
        <f>D15/D19</f>
        <v>0.22372863041476246</v>
      </c>
      <c r="C15" s="32"/>
      <c r="D15" s="12">
        <f>127131.846+23865.86-38858.439+17225.661</f>
        <v>129364.92800000001</v>
      </c>
    </row>
    <row r="16" spans="1:17" ht="60.75" x14ac:dyDescent="0.3">
      <c r="A16" s="87" t="s">
        <v>50</v>
      </c>
      <c r="B16" s="88">
        <f>D16/D19</f>
        <v>9.3923688545499324E-3</v>
      </c>
      <c r="C16" s="10"/>
      <c r="D16" s="89">
        <v>5430.8789999999999</v>
      </c>
    </row>
    <row r="17" spans="1:6" ht="20.25" x14ac:dyDescent="0.3">
      <c r="A17" s="31" t="s">
        <v>30</v>
      </c>
      <c r="B17" s="34">
        <f>D17/D19</f>
        <v>0.10990440531110426</v>
      </c>
      <c r="C17" s="32"/>
      <c r="D17" s="91">
        <f>90346.485-26797.285</f>
        <v>63549.2</v>
      </c>
      <c r="F17" s="6" t="s">
        <v>69</v>
      </c>
    </row>
    <row r="18" spans="1:6" ht="40.5" x14ac:dyDescent="0.3">
      <c r="A18" s="31" t="s">
        <v>51</v>
      </c>
      <c r="B18" s="34">
        <f>D18/D19</f>
        <v>0.65697459541958325</v>
      </c>
      <c r="C18" s="32"/>
      <c r="D18" s="12">
        <f>D19-D15-D16-D17</f>
        <v>379877.49300000007</v>
      </c>
    </row>
    <row r="19" spans="1:6" ht="20.25" x14ac:dyDescent="0.3">
      <c r="A19" s="31" t="s">
        <v>15</v>
      </c>
      <c r="B19" s="34">
        <f>B15+B16+B17+B18</f>
        <v>0.99999999999999989</v>
      </c>
      <c r="C19" s="32"/>
      <c r="D19" s="12">
        <f>D11</f>
        <v>578222.50000000012</v>
      </c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22"/>
  <sheetViews>
    <sheetView workbookViewId="0">
      <selection activeCell="D7" sqref="D7"/>
    </sheetView>
  </sheetViews>
  <sheetFormatPr defaultColWidth="9.140625" defaultRowHeight="12.75" x14ac:dyDescent="0.2"/>
  <cols>
    <col min="1" max="1" width="11" style="1" customWidth="1"/>
    <col min="2" max="2" width="30.28515625" style="1" customWidth="1"/>
    <col min="3" max="3" width="24.28515625" style="1" customWidth="1"/>
    <col min="4" max="4" width="30.7109375" style="1" customWidth="1"/>
    <col min="5" max="16384" width="9.140625" style="1"/>
  </cols>
  <sheetData>
    <row r="2" spans="1:11" x14ac:dyDescent="0.2">
      <c r="A2" s="118" t="s">
        <v>76</v>
      </c>
      <c r="B2" s="118"/>
      <c r="C2" s="118"/>
      <c r="D2" s="118"/>
    </row>
    <row r="3" spans="1:11" x14ac:dyDescent="0.2">
      <c r="A3" s="118"/>
      <c r="B3" s="118"/>
      <c r="C3" s="118"/>
      <c r="D3" s="118"/>
    </row>
    <row r="4" spans="1:11" ht="18" x14ac:dyDescent="0.25">
      <c r="A4" s="6"/>
      <c r="B4" s="6"/>
      <c r="C4" s="6"/>
      <c r="D4" s="6"/>
    </row>
    <row r="5" spans="1:11" ht="12.75" customHeight="1" x14ac:dyDescent="0.2">
      <c r="A5" s="119" t="s">
        <v>0</v>
      </c>
      <c r="B5" s="116" t="s">
        <v>14</v>
      </c>
      <c r="C5" s="116" t="s">
        <v>58</v>
      </c>
      <c r="D5" s="116" t="s">
        <v>77</v>
      </c>
      <c r="E5" s="2"/>
      <c r="F5" s="2"/>
      <c r="G5" s="2"/>
      <c r="H5" s="2"/>
      <c r="I5" s="2"/>
      <c r="J5" s="2"/>
      <c r="K5" s="2"/>
    </row>
    <row r="6" spans="1:11" ht="74.25" customHeight="1" x14ac:dyDescent="0.2">
      <c r="A6" s="120"/>
      <c r="B6" s="117"/>
      <c r="C6" s="117"/>
      <c r="D6" s="117"/>
      <c r="E6" s="2"/>
      <c r="F6" s="2"/>
      <c r="G6" s="2"/>
      <c r="H6" s="2"/>
      <c r="I6" s="2"/>
      <c r="J6" s="2"/>
      <c r="K6" s="2"/>
    </row>
    <row r="7" spans="1:11" ht="18" x14ac:dyDescent="0.25">
      <c r="A7" s="36">
        <v>1</v>
      </c>
      <c r="B7" s="36" t="s">
        <v>1</v>
      </c>
      <c r="C7" s="82">
        <v>11040</v>
      </c>
      <c r="D7" s="27">
        <f>параметры!$B$5*'1 часть дотации'!C7/'1 часть дотации'!$C$17</f>
        <v>22158.600780234072</v>
      </c>
      <c r="G7" s="3"/>
    </row>
    <row r="8" spans="1:11" ht="18" x14ac:dyDescent="0.25">
      <c r="A8" s="36">
        <v>2</v>
      </c>
      <c r="B8" s="36" t="s">
        <v>2</v>
      </c>
      <c r="C8" s="82">
        <v>2892</v>
      </c>
      <c r="D8" s="27">
        <f>параметры!$B$5*'1 часть дотации'!C8/'1 часть дотации'!$C$17</f>
        <v>5804.5899869960986</v>
      </c>
      <c r="G8" s="3"/>
    </row>
    <row r="9" spans="1:11" ht="18" x14ac:dyDescent="0.25">
      <c r="A9" s="36">
        <v>3</v>
      </c>
      <c r="B9" s="36" t="s">
        <v>3</v>
      </c>
      <c r="C9" s="82">
        <v>1440</v>
      </c>
      <c r="D9" s="27">
        <f>параметры!$B$5*'1 часть дотации'!C9/'1 часть дотации'!$C$17</f>
        <v>2890.2522756827047</v>
      </c>
      <c r="G9" s="3"/>
    </row>
    <row r="10" spans="1:11" ht="18" x14ac:dyDescent="0.25">
      <c r="A10" s="36">
        <v>4</v>
      </c>
      <c r="B10" s="36" t="s">
        <v>4</v>
      </c>
      <c r="C10" s="82">
        <v>2658</v>
      </c>
      <c r="D10" s="27">
        <f>параметры!$B$5*'1 часть дотации'!C10/'1 часть дотации'!$C$17</f>
        <v>5334.9239921976596</v>
      </c>
      <c r="G10" s="3"/>
    </row>
    <row r="11" spans="1:11" ht="18" x14ac:dyDescent="0.25">
      <c r="A11" s="36">
        <v>5</v>
      </c>
      <c r="B11" s="36" t="s">
        <v>5</v>
      </c>
      <c r="C11" s="82">
        <v>4396</v>
      </c>
      <c r="D11" s="27">
        <f>параметры!$B$5*'1 часть дотации'!C11/'1 часть дотации'!$C$17</f>
        <v>8823.2979193758129</v>
      </c>
      <c r="G11" s="3"/>
    </row>
    <row r="12" spans="1:11" ht="18" x14ac:dyDescent="0.25">
      <c r="A12" s="36">
        <v>6</v>
      </c>
      <c r="B12" s="36" t="s">
        <v>6</v>
      </c>
      <c r="C12" s="82">
        <v>2437</v>
      </c>
      <c r="D12" s="27">
        <f>параметры!$B$5*'1 часть дотации'!C12/'1 часть дотации'!$C$17</f>
        <v>4891.3505526658</v>
      </c>
      <c r="G12" s="3"/>
    </row>
    <row r="13" spans="1:11" ht="18" x14ac:dyDescent="0.25">
      <c r="A13" s="36">
        <v>7</v>
      </c>
      <c r="B13" s="36" t="s">
        <v>7</v>
      </c>
      <c r="C13" s="82">
        <v>2185</v>
      </c>
      <c r="D13" s="27">
        <f>параметры!$B$5*'1 часть дотации'!C13/'1 часть дотации'!$C$17</f>
        <v>4385.5564044213261</v>
      </c>
      <c r="G13" s="3"/>
    </row>
    <row r="14" spans="1:11" ht="18" x14ac:dyDescent="0.25">
      <c r="A14" s="36">
        <v>8</v>
      </c>
      <c r="B14" s="36" t="s">
        <v>8</v>
      </c>
      <c r="C14" s="82">
        <v>1158</v>
      </c>
      <c r="D14" s="27">
        <f>параметры!$B$5*'1 часть дотации'!C14/'1 часть дотации'!$C$17</f>
        <v>2324.2445383615086</v>
      </c>
      <c r="G14" s="3"/>
    </row>
    <row r="15" spans="1:11" ht="18" x14ac:dyDescent="0.25">
      <c r="A15" s="36">
        <v>9</v>
      </c>
      <c r="B15" s="36" t="s">
        <v>9</v>
      </c>
      <c r="C15" s="82">
        <v>582</v>
      </c>
      <c r="D15" s="27">
        <f>параметры!$B$5*'1 часть дотации'!C15/'1 часть дотации'!$C$17</f>
        <v>1168.1436280884266</v>
      </c>
      <c r="G15" s="3"/>
    </row>
    <row r="16" spans="1:11" ht="18" x14ac:dyDescent="0.25">
      <c r="A16" s="36">
        <v>10</v>
      </c>
      <c r="B16" s="36" t="s">
        <v>10</v>
      </c>
      <c r="C16" s="82">
        <v>1972</v>
      </c>
      <c r="D16" s="27">
        <f>параметры!$B$5*'1 часть дотации'!C16/'1 часть дотации'!$C$17</f>
        <v>3958.0399219765932</v>
      </c>
      <c r="G16" s="3"/>
    </row>
    <row r="17" spans="1:7" ht="18" x14ac:dyDescent="0.25">
      <c r="A17" s="36"/>
      <c r="B17" s="83" t="s">
        <v>11</v>
      </c>
      <c r="C17" s="84">
        <f>C7+C8+C9+C10+C11+C12+C13+C14+C15+C16</f>
        <v>30760</v>
      </c>
      <c r="D17" s="15">
        <f>D7+D8+D9+D10+D11+D12+D13+D14+D15+D16</f>
        <v>61739</v>
      </c>
      <c r="G17" s="3"/>
    </row>
    <row r="18" spans="1:7" ht="18" x14ac:dyDescent="0.25">
      <c r="A18" s="37"/>
      <c r="B18" s="38"/>
      <c r="C18" s="18"/>
      <c r="D18" s="19"/>
      <c r="G18" s="3"/>
    </row>
    <row r="19" spans="1:7" ht="18" x14ac:dyDescent="0.25">
      <c r="A19" s="6" t="s">
        <v>72</v>
      </c>
      <c r="B19" s="26"/>
      <c r="C19" s="6"/>
      <c r="D19" s="6"/>
      <c r="G19" s="3"/>
    </row>
    <row r="20" spans="1:7" ht="18" x14ac:dyDescent="0.25">
      <c r="A20" s="6" t="s">
        <v>35</v>
      </c>
      <c r="B20" s="6"/>
      <c r="C20" s="6"/>
      <c r="D20" s="6"/>
    </row>
    <row r="21" spans="1:7" ht="18" x14ac:dyDescent="0.25">
      <c r="A21" s="6"/>
      <c r="B21" s="6"/>
      <c r="C21" s="6"/>
      <c r="D21" s="6"/>
    </row>
    <row r="22" spans="1:7" ht="18" x14ac:dyDescent="0.25">
      <c r="A22" s="6"/>
      <c r="B22" s="6"/>
      <c r="C22" s="6"/>
      <c r="D22" s="6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A4" sqref="A4"/>
    </sheetView>
  </sheetViews>
  <sheetFormatPr defaultColWidth="9.140625" defaultRowHeight="12.75" x14ac:dyDescent="0.2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 x14ac:dyDescent="0.2">
      <c r="A2" s="121" t="s">
        <v>81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2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5" spans="1:21" hidden="1" x14ac:dyDescent="0.2"/>
    <row r="6" spans="1:2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21" ht="18.75" customHeight="1" x14ac:dyDescent="0.2">
      <c r="A7" s="122" t="s">
        <v>0</v>
      </c>
      <c r="B7" s="125" t="s">
        <v>14</v>
      </c>
      <c r="C7" s="125" t="s">
        <v>16</v>
      </c>
      <c r="D7" s="129" t="s">
        <v>64</v>
      </c>
      <c r="E7" s="129" t="s">
        <v>78</v>
      </c>
      <c r="F7" s="125" t="s">
        <v>38</v>
      </c>
      <c r="G7" s="129" t="s">
        <v>65</v>
      </c>
      <c r="H7" s="129" t="s">
        <v>79</v>
      </c>
      <c r="I7" s="125" t="s">
        <v>39</v>
      </c>
      <c r="J7" s="129" t="s">
        <v>66</v>
      </c>
      <c r="K7" s="129" t="s">
        <v>80</v>
      </c>
      <c r="L7" s="125" t="s">
        <v>40</v>
      </c>
      <c r="M7" s="125" t="s">
        <v>41</v>
      </c>
      <c r="N7" s="125" t="s">
        <v>13</v>
      </c>
      <c r="O7" s="2"/>
      <c r="P7" s="2"/>
      <c r="Q7" s="2"/>
      <c r="R7" s="2"/>
      <c r="S7" s="2"/>
      <c r="T7" s="2"/>
      <c r="U7" s="2"/>
    </row>
    <row r="8" spans="1:21" ht="114" customHeight="1" x14ac:dyDescent="0.2">
      <c r="A8" s="123"/>
      <c r="B8" s="126"/>
      <c r="C8" s="126"/>
      <c r="D8" s="129"/>
      <c r="E8" s="129"/>
      <c r="F8" s="126"/>
      <c r="G8" s="129"/>
      <c r="H8" s="129"/>
      <c r="I8" s="126"/>
      <c r="J8" s="129"/>
      <c r="K8" s="129"/>
      <c r="L8" s="126"/>
      <c r="M8" s="126"/>
      <c r="N8" s="126"/>
      <c r="O8" s="2"/>
      <c r="P8" s="2"/>
      <c r="Q8" s="2"/>
      <c r="R8" s="2"/>
      <c r="S8" s="2"/>
      <c r="T8" s="2"/>
      <c r="U8" s="2"/>
    </row>
    <row r="9" spans="1:21" ht="66.75" customHeight="1" x14ac:dyDescent="0.2">
      <c r="A9" s="124"/>
      <c r="B9" s="127"/>
      <c r="C9" s="127"/>
      <c r="D9" s="92" t="s">
        <v>37</v>
      </c>
      <c r="E9" s="92" t="s">
        <v>36</v>
      </c>
      <c r="F9" s="128"/>
      <c r="G9" s="92" t="s">
        <v>37</v>
      </c>
      <c r="H9" s="92" t="s">
        <v>37</v>
      </c>
      <c r="I9" s="128"/>
      <c r="J9" s="92" t="s">
        <v>37</v>
      </c>
      <c r="K9" s="92" t="s">
        <v>37</v>
      </c>
      <c r="L9" s="128"/>
      <c r="M9" s="127"/>
      <c r="N9" s="128"/>
      <c r="O9" s="2"/>
      <c r="P9" s="2"/>
      <c r="Q9" s="2"/>
      <c r="R9" s="2"/>
      <c r="S9" s="2"/>
      <c r="T9" s="2"/>
      <c r="U9" s="2"/>
    </row>
    <row r="10" spans="1:21" ht="20.25" x14ac:dyDescent="0.3">
      <c r="A10" s="40">
        <v>1</v>
      </c>
      <c r="B10" s="93" t="s">
        <v>1</v>
      </c>
      <c r="C10" s="94">
        <f>'1 часть дотации'!C7</f>
        <v>11040</v>
      </c>
      <c r="D10" s="95">
        <f>416548532</f>
        <v>416548532</v>
      </c>
      <c r="E10" s="95">
        <v>38406</v>
      </c>
      <c r="F10" s="95">
        <f>($E$10/0.1+$E$11/0.1+$E$12/0.1+$E$13/0.1+$E$14/0.1+$E$15/0.1+$E$16/0.1+$E$17/0.1+$E$18/0.1+$E$19/0.1)*0.1*(D10/$D$20)</f>
        <v>37695.160601799907</v>
      </c>
      <c r="G10" s="95">
        <v>3830</v>
      </c>
      <c r="H10" s="95">
        <v>2700</v>
      </c>
      <c r="I10" s="95">
        <f>$H$20*1*(G10/$G$20)</f>
        <v>2843.2216532553034</v>
      </c>
      <c r="J10" s="95">
        <v>14677</v>
      </c>
      <c r="K10" s="95">
        <v>6918</v>
      </c>
      <c r="L10" s="95">
        <f>$K$20*1*(J10/$J$20)</f>
        <v>7423.8378388582651</v>
      </c>
      <c r="M10" s="95">
        <f>F10+I10+L10</f>
        <v>47962.220093913478</v>
      </c>
      <c r="N10" s="89">
        <f>(M10/C10)/($M$20/$C$20)</f>
        <v>1.3150428644123819</v>
      </c>
    </row>
    <row r="11" spans="1:21" ht="20.25" x14ac:dyDescent="0.3">
      <c r="A11" s="40">
        <v>2</v>
      </c>
      <c r="B11" s="93" t="s">
        <v>2</v>
      </c>
      <c r="C11" s="94">
        <f>'1 часть дотации'!C8</f>
        <v>2892</v>
      </c>
      <c r="D11" s="95">
        <v>64484423</v>
      </c>
      <c r="E11" s="95">
        <v>5188</v>
      </c>
      <c r="F11" s="95">
        <f t="shared" ref="F11:F19" si="0">($E$10/0.1+$E$11/0.1+$E$12/0.1+$E$13/0.1+$E$14/0.1+$E$15/0.1+$E$16/0.1+$E$17/0.1+$E$18/0.1+$E$19/0.1)*0.1*(D11/$D$20)</f>
        <v>5835.4561223118171</v>
      </c>
      <c r="G11" s="95">
        <v>337</v>
      </c>
      <c r="H11" s="95">
        <v>305</v>
      </c>
      <c r="I11" s="95">
        <f t="shared" ref="I11:I18" si="1">$H$20*1*(G11/$G$20)</f>
        <v>250.173811265545</v>
      </c>
      <c r="J11" s="95">
        <v>1660</v>
      </c>
      <c r="K11" s="95">
        <v>936</v>
      </c>
      <c r="L11" s="95">
        <f t="shared" ref="L11:L19" si="2">$K$20*1*(J11/$J$20)</f>
        <v>839.65189156535519</v>
      </c>
      <c r="M11" s="95">
        <f t="shared" ref="M11:M19" si="3">F11+I11+L11</f>
        <v>6925.281825142717</v>
      </c>
      <c r="N11" s="89">
        <f t="shared" ref="N11:N20" si="4">(M11/C11)/($M$20/$C$20)</f>
        <v>0.72485120951787363</v>
      </c>
    </row>
    <row r="12" spans="1:21" ht="20.25" x14ac:dyDescent="0.3">
      <c r="A12" s="40">
        <v>3</v>
      </c>
      <c r="B12" s="93" t="s">
        <v>3</v>
      </c>
      <c r="C12" s="94">
        <f>'1 часть дотации'!C9</f>
        <v>1440</v>
      </c>
      <c r="D12" s="95">
        <v>21945720</v>
      </c>
      <c r="E12" s="95">
        <v>1735</v>
      </c>
      <c r="F12" s="95">
        <f t="shared" si="0"/>
        <v>1985.956920674329</v>
      </c>
      <c r="G12" s="95">
        <v>256</v>
      </c>
      <c r="H12" s="95">
        <v>164</v>
      </c>
      <c r="I12" s="95">
        <f t="shared" si="1"/>
        <v>190.04301389904901</v>
      </c>
      <c r="J12" s="95">
        <v>2269</v>
      </c>
      <c r="K12" s="95">
        <v>676</v>
      </c>
      <c r="L12" s="95">
        <f t="shared" si="2"/>
        <v>1147.6928566034887</v>
      </c>
      <c r="M12" s="95">
        <f t="shared" si="3"/>
        <v>3323.6927911768671</v>
      </c>
      <c r="N12" s="89">
        <f t="shared" si="4"/>
        <v>0.69866355254536106</v>
      </c>
    </row>
    <row r="13" spans="1:21" ht="20.25" x14ac:dyDescent="0.3">
      <c r="A13" s="40">
        <v>4</v>
      </c>
      <c r="B13" s="93" t="s">
        <v>4</v>
      </c>
      <c r="C13" s="94">
        <f>'1 часть дотации'!C10</f>
        <v>2658</v>
      </c>
      <c r="D13" s="95">
        <v>52732416</v>
      </c>
      <c r="E13" s="95">
        <v>4818.3999999999996</v>
      </c>
      <c r="F13" s="95">
        <f t="shared" si="0"/>
        <v>4771.9695001612026</v>
      </c>
      <c r="G13" s="95">
        <v>247</v>
      </c>
      <c r="H13" s="95">
        <v>202</v>
      </c>
      <c r="I13" s="95">
        <f t="shared" si="1"/>
        <v>183.36181419166056</v>
      </c>
      <c r="J13" s="95">
        <v>1216</v>
      </c>
      <c r="K13" s="95">
        <v>550</v>
      </c>
      <c r="L13" s="95">
        <f t="shared" si="2"/>
        <v>615.07030129124826</v>
      </c>
      <c r="M13" s="95">
        <f t="shared" si="3"/>
        <v>5570.4016156441112</v>
      </c>
      <c r="N13" s="89">
        <f t="shared" si="4"/>
        <v>0.63436795466204055</v>
      </c>
    </row>
    <row r="14" spans="1:21" ht="20.25" x14ac:dyDescent="0.3">
      <c r="A14" s="40">
        <v>5</v>
      </c>
      <c r="B14" s="93" t="s">
        <v>5</v>
      </c>
      <c r="C14" s="94">
        <f>'1 часть дотации'!C11</f>
        <v>4396</v>
      </c>
      <c r="D14" s="95">
        <v>47124051</v>
      </c>
      <c r="E14" s="95">
        <v>4175</v>
      </c>
      <c r="F14" s="95">
        <f t="shared" si="0"/>
        <v>4264.445878907597</v>
      </c>
      <c r="G14" s="95">
        <v>771</v>
      </c>
      <c r="H14" s="95">
        <v>675</v>
      </c>
      <c r="I14" s="95">
        <f t="shared" si="1"/>
        <v>572.35610826627658</v>
      </c>
      <c r="J14" s="95">
        <v>4467</v>
      </c>
      <c r="K14" s="95">
        <v>3543</v>
      </c>
      <c r="L14" s="95">
        <f t="shared" si="2"/>
        <v>2259.4728913388203</v>
      </c>
      <c r="M14" s="95">
        <f t="shared" si="3"/>
        <v>7096.2748785126932</v>
      </c>
      <c r="N14" s="89">
        <f t="shared" si="4"/>
        <v>0.48863261407337905</v>
      </c>
    </row>
    <row r="15" spans="1:21" ht="20.25" x14ac:dyDescent="0.3">
      <c r="A15" s="40">
        <v>6</v>
      </c>
      <c r="B15" s="93" t="s">
        <v>6</v>
      </c>
      <c r="C15" s="94">
        <f>'1 часть дотации'!C12</f>
        <v>2437</v>
      </c>
      <c r="D15" s="95">
        <f>56756176</f>
        <v>56756176</v>
      </c>
      <c r="E15" s="95">
        <v>5050</v>
      </c>
      <c r="F15" s="95">
        <f>($E$10/0.1+$E$11/0.1+$E$12/0.1+$E$13/0.1+$E$14/0.1+$E$15/0.1+$E$16/0.1+$E$17/0.1+$E$18/0.1+$E$19/0.1)*0.1*(D15/$D$20)</f>
        <v>5136.095809032935</v>
      </c>
      <c r="G15" s="95">
        <v>411</v>
      </c>
      <c r="H15" s="95">
        <v>330</v>
      </c>
      <c r="I15" s="95">
        <f t="shared" si="1"/>
        <v>305.10811997073881</v>
      </c>
      <c r="J15" s="95">
        <v>833</v>
      </c>
      <c r="K15" s="95">
        <v>305</v>
      </c>
      <c r="L15" s="95">
        <f t="shared" si="2"/>
        <v>421.3433889602054</v>
      </c>
      <c r="M15" s="95">
        <f>F15+I15+L15</f>
        <v>5862.5473179638793</v>
      </c>
      <c r="N15" s="89">
        <f>(M15/C15)/($M$20/$C$20)</f>
        <v>0.72818300144048675</v>
      </c>
    </row>
    <row r="16" spans="1:21" ht="20.25" x14ac:dyDescent="0.3">
      <c r="A16" s="40">
        <v>7</v>
      </c>
      <c r="B16" s="93" t="s">
        <v>7</v>
      </c>
      <c r="C16" s="94">
        <f>'1 часть дотации'!C13</f>
        <v>2185</v>
      </c>
      <c r="D16" s="95">
        <v>63092059</v>
      </c>
      <c r="E16" s="95">
        <v>6257</v>
      </c>
      <c r="F16" s="95">
        <f t="shared" si="0"/>
        <v>5709.4554751743435</v>
      </c>
      <c r="G16" s="95">
        <v>362</v>
      </c>
      <c r="H16" s="95">
        <v>230</v>
      </c>
      <c r="I16" s="95">
        <f t="shared" si="1"/>
        <v>268.73269934162397</v>
      </c>
      <c r="J16" s="95">
        <v>841</v>
      </c>
      <c r="K16" s="95">
        <v>180</v>
      </c>
      <c r="L16" s="95">
        <f t="shared" si="2"/>
        <v>425.38990410027941</v>
      </c>
      <c r="M16" s="95">
        <f t="shared" si="3"/>
        <v>6403.5780786162468</v>
      </c>
      <c r="N16" s="89">
        <f t="shared" si="4"/>
        <v>0.88711714485658466</v>
      </c>
    </row>
    <row r="17" spans="1:14" ht="20.25" x14ac:dyDescent="0.3">
      <c r="A17" s="40">
        <v>8</v>
      </c>
      <c r="B17" s="93" t="s">
        <v>8</v>
      </c>
      <c r="C17" s="94">
        <f>'1 часть дотации'!C14</f>
        <v>1158</v>
      </c>
      <c r="D17" s="95">
        <v>12265355</v>
      </c>
      <c r="E17" s="95">
        <v>1200</v>
      </c>
      <c r="F17" s="95">
        <f t="shared" si="0"/>
        <v>1109.9415579337331</v>
      </c>
      <c r="G17" s="95">
        <v>175</v>
      </c>
      <c r="H17" s="95">
        <v>120</v>
      </c>
      <c r="I17" s="95">
        <f t="shared" si="1"/>
        <v>129.91221653255303</v>
      </c>
      <c r="J17" s="95">
        <v>80</v>
      </c>
      <c r="K17" s="95">
        <v>59</v>
      </c>
      <c r="L17" s="95">
        <f t="shared" si="2"/>
        <v>40.465151400740012</v>
      </c>
      <c r="M17" s="95">
        <f t="shared" si="3"/>
        <v>1280.3189258670261</v>
      </c>
      <c r="N17" s="89">
        <f t="shared" si="4"/>
        <v>0.33467194735219274</v>
      </c>
    </row>
    <row r="18" spans="1:14" ht="20.25" x14ac:dyDescent="0.3">
      <c r="A18" s="40">
        <v>9</v>
      </c>
      <c r="B18" s="93" t="s">
        <v>9</v>
      </c>
      <c r="C18" s="94">
        <f>'1 часть дотации'!C15</f>
        <v>582</v>
      </c>
      <c r="D18" s="95">
        <v>10098453</v>
      </c>
      <c r="E18" s="95">
        <v>873</v>
      </c>
      <c r="F18" s="95">
        <f t="shared" si="0"/>
        <v>913.84983602517661</v>
      </c>
      <c r="G18" s="95">
        <v>55</v>
      </c>
      <c r="H18" s="95">
        <v>45</v>
      </c>
      <c r="I18" s="95">
        <f t="shared" si="1"/>
        <v>40.82955376737381</v>
      </c>
      <c r="J18" s="95">
        <v>48</v>
      </c>
      <c r="K18" s="95">
        <v>39</v>
      </c>
      <c r="L18" s="95">
        <f t="shared" si="2"/>
        <v>24.27909084044401</v>
      </c>
      <c r="M18" s="95">
        <f t="shared" si="3"/>
        <v>978.95848063299445</v>
      </c>
      <c r="N18" s="89">
        <f t="shared" si="4"/>
        <v>0.50915614910609919</v>
      </c>
    </row>
    <row r="19" spans="1:14" ht="20.25" x14ac:dyDescent="0.3">
      <c r="A19" s="40">
        <v>10</v>
      </c>
      <c r="B19" s="93" t="s">
        <v>10</v>
      </c>
      <c r="C19" s="94">
        <f>'1 часть дотации'!C16</f>
        <v>1972</v>
      </c>
      <c r="D19" s="95">
        <v>173780150</v>
      </c>
      <c r="E19" s="95">
        <v>15446</v>
      </c>
      <c r="F19" s="95">
        <f t="shared" si="0"/>
        <v>15726.068297978969</v>
      </c>
      <c r="G19" s="95">
        <v>391</v>
      </c>
      <c r="H19" s="95">
        <v>303</v>
      </c>
      <c r="I19" s="95">
        <f>$H$20*1*(G19/$G$20)</f>
        <v>290.26100950987563</v>
      </c>
      <c r="J19" s="95">
        <v>395</v>
      </c>
      <c r="K19" s="95">
        <v>191</v>
      </c>
      <c r="L19" s="95">
        <f t="shared" si="2"/>
        <v>199.79668504115384</v>
      </c>
      <c r="M19" s="95">
        <f t="shared" si="3"/>
        <v>16216.125992529998</v>
      </c>
      <c r="N19" s="89">
        <f t="shared" si="4"/>
        <v>2.4891433258125355</v>
      </c>
    </row>
    <row r="20" spans="1:14" ht="18" x14ac:dyDescent="0.25">
      <c r="A20" s="41"/>
      <c r="B20" s="96" t="s">
        <v>11</v>
      </c>
      <c r="C20" s="85">
        <f t="shared" ref="C20:M20" si="5">C10+C11+C12+C13+C14+C15+C16+C17+C18+C19</f>
        <v>30760</v>
      </c>
      <c r="D20" s="86">
        <f t="shared" si="5"/>
        <v>918827335</v>
      </c>
      <c r="E20" s="86">
        <f t="shared" si="5"/>
        <v>83148.399999999994</v>
      </c>
      <c r="F20" s="86">
        <f t="shared" si="5"/>
        <v>83148.400000000023</v>
      </c>
      <c r="G20" s="86">
        <f t="shared" si="5"/>
        <v>6835</v>
      </c>
      <c r="H20" s="86">
        <f t="shared" si="5"/>
        <v>5074</v>
      </c>
      <c r="I20" s="86">
        <f t="shared" si="5"/>
        <v>5073.9999999999991</v>
      </c>
      <c r="J20" s="86">
        <f t="shared" si="5"/>
        <v>26486</v>
      </c>
      <c r="K20" s="86">
        <f t="shared" si="5"/>
        <v>13397</v>
      </c>
      <c r="L20" s="86">
        <f t="shared" si="5"/>
        <v>13397.000000000002</v>
      </c>
      <c r="M20" s="86">
        <f t="shared" si="5"/>
        <v>101619.40000000002</v>
      </c>
      <c r="N20" s="97">
        <f t="shared" si="4"/>
        <v>1</v>
      </c>
    </row>
    <row r="21" spans="1:14" x14ac:dyDescent="0.2">
      <c r="E21" s="5"/>
      <c r="F21" s="4"/>
      <c r="G21" s="4"/>
      <c r="H21" s="5"/>
      <c r="I21" s="4"/>
      <c r="J21" s="4"/>
      <c r="K21" s="5"/>
    </row>
    <row r="27" spans="1:14" x14ac:dyDescent="0.2">
      <c r="A27" s="130" t="s">
        <v>32</v>
      </c>
      <c r="B27" s="130"/>
      <c r="C27" s="130"/>
      <c r="D27" s="130"/>
      <c r="E27" s="130"/>
      <c r="F27" s="130"/>
      <c r="G27" s="130"/>
      <c r="H27" s="130"/>
      <c r="I27" s="130"/>
      <c r="J27" s="131"/>
      <c r="K27" s="131"/>
      <c r="L27" s="131"/>
      <c r="M27" s="131"/>
    </row>
    <row r="28" spans="1:14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1"/>
      <c r="K28" s="131"/>
      <c r="L28" s="131"/>
      <c r="M28" s="131"/>
    </row>
    <row r="29" spans="1:14" ht="24" customHeight="1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1"/>
      <c r="K29" s="131"/>
      <c r="L29" s="131"/>
      <c r="M29" s="131"/>
    </row>
    <row r="30" spans="1:14" x14ac:dyDescent="0.2">
      <c r="A30" s="130" t="s">
        <v>33</v>
      </c>
      <c r="B30" s="130"/>
      <c r="C30" s="130"/>
      <c r="D30" s="130"/>
      <c r="E30" s="130"/>
      <c r="F30" s="130"/>
      <c r="G30" s="130"/>
      <c r="H30" s="130"/>
      <c r="I30" s="130"/>
      <c r="J30" s="131"/>
      <c r="K30" s="131"/>
      <c r="L30" s="131"/>
      <c r="M30" s="131"/>
    </row>
    <row r="31" spans="1:14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1"/>
      <c r="K31" s="131"/>
      <c r="L31" s="131"/>
      <c r="M31" s="131"/>
    </row>
    <row r="32" spans="1:14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1"/>
      <c r="K32" s="131"/>
      <c r="L32" s="131"/>
      <c r="M32" s="131"/>
    </row>
    <row r="33" spans="1:13" ht="15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13" x14ac:dyDescent="0.2">
      <c r="A34" s="132" t="s">
        <v>12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ht="15" customHeight="1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</sheetData>
  <mergeCells count="18">
    <mergeCell ref="A27:M29"/>
    <mergeCell ref="A30:M32"/>
    <mergeCell ref="A34:M36"/>
    <mergeCell ref="K7:K8"/>
    <mergeCell ref="D7:D8"/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23"/>
  <sheetViews>
    <sheetView zoomScale="80" zoomScaleNormal="80" workbookViewId="0">
      <pane xSplit="4095" topLeftCell="E1" activePane="topRight"/>
      <selection activeCell="B21" sqref="B21"/>
      <selection pane="topRight" activeCell="V9" sqref="V9"/>
    </sheetView>
  </sheetViews>
  <sheetFormatPr defaultColWidth="9.140625" defaultRowHeight="20.25" x14ac:dyDescent="0.3"/>
  <cols>
    <col min="1" max="1" width="8.42578125" style="6" customWidth="1"/>
    <col min="2" max="2" width="36.28515625" style="10" customWidth="1"/>
    <col min="3" max="3" width="15.140625" style="6" customWidth="1"/>
    <col min="4" max="4" width="15" style="6" customWidth="1"/>
    <col min="5" max="6" width="15.7109375" style="6" customWidth="1"/>
    <col min="7" max="7" width="15" style="6" customWidth="1"/>
    <col min="8" max="8" width="17" style="6" customWidth="1"/>
    <col min="9" max="9" width="19" style="6" customWidth="1"/>
    <col min="10" max="10" width="21.140625" style="6" customWidth="1"/>
    <col min="11" max="11" width="17.7109375" style="6" customWidth="1"/>
    <col min="12" max="12" width="16.285156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19.42578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1" ht="18" x14ac:dyDescent="0.25">
      <c r="A2" s="140" t="s">
        <v>82</v>
      </c>
      <c r="B2" s="140"/>
      <c r="C2" s="140"/>
      <c r="D2" s="140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2"/>
      <c r="S2" s="142"/>
      <c r="T2" s="142"/>
      <c r="U2" s="142"/>
    </row>
    <row r="3" spans="1:21" ht="18" x14ac:dyDescent="0.25">
      <c r="A3" s="140"/>
      <c r="B3" s="140"/>
      <c r="C3" s="140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2"/>
      <c r="S3" s="142"/>
      <c r="T3" s="142"/>
      <c r="U3" s="142"/>
    </row>
    <row r="5" spans="1:21" s="9" customFormat="1" ht="162.75" customHeight="1" x14ac:dyDescent="0.2">
      <c r="A5" s="137" t="s">
        <v>0</v>
      </c>
      <c r="B5" s="135" t="s">
        <v>14</v>
      </c>
      <c r="C5" s="133" t="s">
        <v>61</v>
      </c>
      <c r="D5" s="139" t="s">
        <v>59</v>
      </c>
      <c r="E5" s="139" t="s">
        <v>60</v>
      </c>
      <c r="F5" s="139" t="s">
        <v>54</v>
      </c>
      <c r="G5" s="143" t="s">
        <v>17</v>
      </c>
      <c r="H5" s="139" t="s">
        <v>83</v>
      </c>
      <c r="I5" s="139" t="s">
        <v>84</v>
      </c>
      <c r="J5" s="139" t="s">
        <v>85</v>
      </c>
      <c r="K5" s="139" t="s">
        <v>18</v>
      </c>
      <c r="L5" s="143" t="s">
        <v>25</v>
      </c>
      <c r="M5" s="143" t="s">
        <v>21</v>
      </c>
      <c r="N5" s="139" t="s">
        <v>22</v>
      </c>
      <c r="O5" s="143" t="s">
        <v>62</v>
      </c>
      <c r="P5" s="139" t="s">
        <v>23</v>
      </c>
      <c r="Q5" s="139" t="s">
        <v>24</v>
      </c>
      <c r="R5" s="133" t="s">
        <v>63</v>
      </c>
      <c r="S5" s="133" t="s">
        <v>42</v>
      </c>
      <c r="T5" s="143" t="s">
        <v>27</v>
      </c>
      <c r="U5" s="139" t="s">
        <v>26</v>
      </c>
    </row>
    <row r="6" spans="1:21" s="9" customFormat="1" ht="189" customHeight="1" x14ac:dyDescent="0.2">
      <c r="A6" s="138"/>
      <c r="B6" s="136"/>
      <c r="C6" s="144"/>
      <c r="D6" s="139"/>
      <c r="E6" s="139"/>
      <c r="F6" s="139"/>
      <c r="G6" s="143"/>
      <c r="H6" s="139"/>
      <c r="I6" s="139"/>
      <c r="J6" s="139"/>
      <c r="K6" s="139"/>
      <c r="L6" s="143"/>
      <c r="M6" s="143"/>
      <c r="N6" s="139"/>
      <c r="O6" s="143"/>
      <c r="P6" s="139"/>
      <c r="Q6" s="139"/>
      <c r="R6" s="144"/>
      <c r="S6" s="134"/>
      <c r="T6" s="143"/>
      <c r="U6" s="139"/>
    </row>
    <row r="7" spans="1:21" ht="25.5" x14ac:dyDescent="0.35">
      <c r="A7" s="20">
        <v>1</v>
      </c>
      <c r="B7" s="22" t="s">
        <v>53</v>
      </c>
      <c r="C7" s="98">
        <f>'1 часть дотации'!C7</f>
        <v>11040</v>
      </c>
      <c r="D7" s="98">
        <v>0</v>
      </c>
      <c r="E7" s="99"/>
      <c r="F7" s="100">
        <f>D7/C7</f>
        <v>0</v>
      </c>
      <c r="G7" s="101">
        <f>(1+0.25*F7)/(1+0.25*$F$17)</f>
        <v>0.92996538327815814</v>
      </c>
      <c r="H7" s="107">
        <v>233.53241153408004</v>
      </c>
      <c r="I7" s="102">
        <v>5256.6555332708058</v>
      </c>
      <c r="J7" s="102">
        <v>7528.6378516392579</v>
      </c>
      <c r="K7" s="101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1.0867321449182381</v>
      </c>
      <c r="L7" s="101">
        <f>параметры!$B$9*ИБР!G7+параметры!$B$10*ИБР!K7+1-параметры!$B$9-параметры!$B$10</f>
        <v>0.97426401466891355</v>
      </c>
      <c r="M7" s="99">
        <v>0</v>
      </c>
      <c r="N7" s="101">
        <f>M7+(1-M7)*(AVERAGE($C$7:$C$16))/C7</f>
        <v>0.27862318840579708</v>
      </c>
      <c r="O7" s="102">
        <v>330.48</v>
      </c>
      <c r="P7" s="101">
        <f>(O7/C7)/($O$17/$C$17)</f>
        <v>1.0304664581884779</v>
      </c>
      <c r="Q7" s="101">
        <f>(1+E7/C7)/(1+$E$17/$C$17)</f>
        <v>0.9147411306390697</v>
      </c>
      <c r="R7" s="101">
        <v>78.900000000000006</v>
      </c>
      <c r="S7" s="101">
        <f>(R7/C7)/($R$17/$C$17)</f>
        <v>0.65487114794058177</v>
      </c>
      <c r="T7" s="101">
        <f>параметры!$B$15*ИБР!N7+параметры!$B$16*ИБР!P7+параметры!$B$18*ИБР!Q7+параметры!$B$17*ИБР!S7</f>
        <v>0.74494941369643586</v>
      </c>
      <c r="U7" s="101">
        <f>L7*T7*$C$17/SUMPRODUCT($L$7:$L$16,$T$7:$T$16,$C$7:$C$16)</f>
        <v>0.72017666928519009</v>
      </c>
    </row>
    <row r="8" spans="1:21" ht="25.5" x14ac:dyDescent="0.35">
      <c r="A8" s="20">
        <v>2</v>
      </c>
      <c r="B8" s="22" t="s">
        <v>2</v>
      </c>
      <c r="C8" s="98">
        <f>'1 часть дотации'!C8</f>
        <v>2892</v>
      </c>
      <c r="D8" s="98">
        <v>36</v>
      </c>
      <c r="E8" s="99">
        <v>36</v>
      </c>
      <c r="F8" s="100">
        <f t="shared" ref="F8:F17" si="0">D8/C8</f>
        <v>1.2448132780082987E-2</v>
      </c>
      <c r="G8" s="101">
        <f t="shared" ref="G8:G17" si="1">(1+0.25*F8)/(1+0.25*$F$17)</f>
        <v>0.93285946642113993</v>
      </c>
      <c r="H8" s="107">
        <v>100.19282557760003</v>
      </c>
      <c r="I8" s="102">
        <v>4370.9538913034112</v>
      </c>
      <c r="J8" s="102">
        <v>7528.6378516392579</v>
      </c>
      <c r="K8" s="101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0.82601999017596661</v>
      </c>
      <c r="L8" s="101">
        <f>параметры!$B$9*ИБР!G8+параметры!$B$10*ИБР!K8+1-параметры!$B$9-параметры!$B$10</f>
        <v>0.96084873381217573</v>
      </c>
      <c r="M8" s="99">
        <f>$M$7</f>
        <v>0</v>
      </c>
      <c r="N8" s="101">
        <f>M8+(1-M8)*(AVERAGE($C$7:$C$16))/C8</f>
        <v>1.0636237897648686</v>
      </c>
      <c r="O8" s="102">
        <v>103.3</v>
      </c>
      <c r="P8" s="101">
        <f t="shared" ref="P8:P17" si="3">(O8/C8)/($O$17/$C$17)</f>
        <v>1.229588476366831</v>
      </c>
      <c r="Q8" s="101">
        <f t="shared" ref="Q8:Q17" si="4">(1+E8/C8)/(1+$E$17/$C$17)</f>
        <v>0.9261279496926681</v>
      </c>
      <c r="R8" s="101">
        <v>38.799999999999997</v>
      </c>
      <c r="S8" s="101">
        <f t="shared" ref="S8:S17" si="5">(R8/C8)/($R$17/$C$17)</f>
        <v>1.2293664703409959</v>
      </c>
      <c r="T8" s="101">
        <f>параметры!$B$15*ИБР!N8+параметры!$B$16*ИБР!P8+параметры!$B$18*ИБР!Q8+параметры!$B$17*ИБР!S8</f>
        <v>0.99306716815834184</v>
      </c>
      <c r="U8" s="101">
        <f t="shared" ref="U8:U16" si="6">L8*T8*$C$17/SUMPRODUCT($L$7:$L$16,$T$7:$T$16,$C$7:$C$16)</f>
        <v>0.94682398188480843</v>
      </c>
    </row>
    <row r="9" spans="1:21" ht="25.5" x14ac:dyDescent="0.35">
      <c r="A9" s="20">
        <v>3</v>
      </c>
      <c r="B9" s="22" t="s">
        <v>3</v>
      </c>
      <c r="C9" s="98">
        <f>'1 часть дотации'!C9</f>
        <v>1440</v>
      </c>
      <c r="D9" s="98"/>
      <c r="E9" s="99"/>
      <c r="F9" s="100">
        <f t="shared" si="0"/>
        <v>0</v>
      </c>
      <c r="G9" s="101">
        <f t="shared" si="1"/>
        <v>0.92996538327815814</v>
      </c>
      <c r="H9" s="107">
        <v>80.682503706168177</v>
      </c>
      <c r="I9" s="102">
        <v>5504.499452670515</v>
      </c>
      <c r="J9" s="102">
        <v>7528.6378516392579</v>
      </c>
      <c r="K9" s="101">
        <f t="shared" si="2"/>
        <v>0.9515396909245164</v>
      </c>
      <c r="L9" s="101">
        <f>параметры!$B$9*ИБР!G9+параметры!$B$10*ИБР!K9+1-параметры!$B$9-параметры!$B$10</f>
        <v>0.9666513785486025</v>
      </c>
      <c r="M9" s="99">
        <f t="shared" ref="M9:M16" si="7">$M$7</f>
        <v>0</v>
      </c>
      <c r="N9" s="101">
        <f t="shared" ref="N9:N16" si="8">M9+(1-M9)*(AVERAGE($C$7:$C$16))/C9</f>
        <v>2.1361111111111111</v>
      </c>
      <c r="O9" s="102">
        <v>43.4</v>
      </c>
      <c r="P9" s="101">
        <f t="shared" si="3"/>
        <v>1.0374925548331102</v>
      </c>
      <c r="Q9" s="101">
        <f t="shared" si="4"/>
        <v>0.9147411306390697</v>
      </c>
      <c r="R9" s="101">
        <v>18.5</v>
      </c>
      <c r="S9" s="101">
        <f t="shared" si="5"/>
        <v>1.1772187302438424</v>
      </c>
      <c r="T9" s="101">
        <f>параметры!$B$15*ИБР!N9+параметры!$B$16*ИБР!P9+параметры!$B$18*ИБР!Q9+параметры!$B$17*ИБР!S9</f>
        <v>1.217996934745285</v>
      </c>
      <c r="U9" s="101">
        <f t="shared" si="6"/>
        <v>1.1682927279663762</v>
      </c>
    </row>
    <row r="10" spans="1:21" ht="25.5" x14ac:dyDescent="0.35">
      <c r="A10" s="20">
        <v>4</v>
      </c>
      <c r="B10" s="22" t="s">
        <v>4</v>
      </c>
      <c r="C10" s="98">
        <f>'1 часть дотации'!C10</f>
        <v>2658</v>
      </c>
      <c r="D10" s="98"/>
      <c r="E10" s="99"/>
      <c r="F10" s="100">
        <f t="shared" si="0"/>
        <v>0</v>
      </c>
      <c r="G10" s="101">
        <f t="shared" si="1"/>
        <v>0.92996538327815814</v>
      </c>
      <c r="H10" s="107">
        <v>215.47466883488005</v>
      </c>
      <c r="I10" s="102">
        <v>3960.5934969225959</v>
      </c>
      <c r="J10" s="102">
        <v>7528.6378516392579</v>
      </c>
      <c r="K10" s="101">
        <f t="shared" si="2"/>
        <v>0.89903379931612448</v>
      </c>
      <c r="L10" s="101">
        <f>параметры!$B$9*ИБР!G10+параметры!$B$10*ИБР!K10+1-параметры!$B$9-параметры!$B$10</f>
        <v>0.96369479158550375</v>
      </c>
      <c r="M10" s="99">
        <f t="shared" si="7"/>
        <v>0</v>
      </c>
      <c r="N10" s="101">
        <f t="shared" si="8"/>
        <v>1.1572610985703538</v>
      </c>
      <c r="O10" s="102">
        <v>63.1</v>
      </c>
      <c r="P10" s="101">
        <f t="shared" si="3"/>
        <v>0.81720710542866604</v>
      </c>
      <c r="Q10" s="101">
        <f t="shared" si="4"/>
        <v>0.9147411306390697</v>
      </c>
      <c r="R10" s="101">
        <v>28.1</v>
      </c>
      <c r="S10" s="101">
        <f t="shared" si="5"/>
        <v>0.96872223985900485</v>
      </c>
      <c r="T10" s="101">
        <f>параметры!$B$15*ИБР!N10+параметры!$B$16*ИБР!P10+параметры!$B$18*ИБР!Q10+параметры!$B$17*ИБР!S10</f>
        <v>0.97401647707877359</v>
      </c>
      <c r="U10" s="101">
        <f t="shared" si="6"/>
        <v>0.93141112082702693</v>
      </c>
    </row>
    <row r="11" spans="1:21" ht="25.5" x14ac:dyDescent="0.35">
      <c r="A11" s="20">
        <v>5</v>
      </c>
      <c r="B11" s="22" t="s">
        <v>5</v>
      </c>
      <c r="C11" s="98">
        <f>'1 часть дотации'!C11</f>
        <v>4396</v>
      </c>
      <c r="D11" s="98">
        <v>896</v>
      </c>
      <c r="E11" s="99">
        <v>896</v>
      </c>
      <c r="F11" s="100">
        <f t="shared" si="0"/>
        <v>0.20382165605095542</v>
      </c>
      <c r="G11" s="101">
        <f t="shared" si="1"/>
        <v>0.97735215440061207</v>
      </c>
      <c r="H11" s="107">
        <v>305.58265493504001</v>
      </c>
      <c r="I11" s="102">
        <v>5137.381644085327</v>
      </c>
      <c r="J11" s="102">
        <v>7528.6378516392579</v>
      </c>
      <c r="K11" s="101">
        <f t="shared" si="2"/>
        <v>1.1501421726607746</v>
      </c>
      <c r="L11" s="101">
        <f>параметры!$B$9*ИБР!G11+параметры!$B$10*ИБР!K11+1-параметры!$B$9-параметры!$B$10</f>
        <v>0.99855258297120797</v>
      </c>
      <c r="M11" s="99">
        <f t="shared" si="7"/>
        <v>0</v>
      </c>
      <c r="N11" s="101">
        <f t="shared" si="8"/>
        <v>0.6997270245677889</v>
      </c>
      <c r="O11" s="102">
        <v>109.6</v>
      </c>
      <c r="P11" s="101">
        <f t="shared" si="3"/>
        <v>0.85824369543102008</v>
      </c>
      <c r="Q11" s="101">
        <f t="shared" si="4"/>
        <v>1.1011851827438481</v>
      </c>
      <c r="R11" s="101">
        <v>61.2</v>
      </c>
      <c r="S11" s="101">
        <f t="shared" si="5"/>
        <v>1.275679761194813</v>
      </c>
      <c r="T11" s="101">
        <f>параметры!$B$15*ИБР!N11+параметры!$B$16*ИБР!P11+параметры!$B$18*ИБР!Q11+параметры!$B$17*ИБР!S11</f>
        <v>1.0282634256620353</v>
      </c>
      <c r="U11" s="101">
        <f t="shared" si="6"/>
        <v>1.0188515993321507</v>
      </c>
    </row>
    <row r="12" spans="1:21" ht="25.5" x14ac:dyDescent="0.35">
      <c r="A12" s="20">
        <v>6</v>
      </c>
      <c r="B12" s="22" t="s">
        <v>6</v>
      </c>
      <c r="C12" s="98">
        <f>'1 часть дотации'!C12</f>
        <v>2437</v>
      </c>
      <c r="D12" s="98">
        <v>2437</v>
      </c>
      <c r="E12" s="99">
        <v>128</v>
      </c>
      <c r="F12" s="100">
        <f t="shared" si="0"/>
        <v>1</v>
      </c>
      <c r="G12" s="101">
        <f t="shared" si="1"/>
        <v>1.1624567290976977</v>
      </c>
      <c r="H12" s="107">
        <v>92.402478288960012</v>
      </c>
      <c r="I12" s="102">
        <v>6889.7902267927839</v>
      </c>
      <c r="J12" s="102">
        <v>7528.6378516392579</v>
      </c>
      <c r="K12" s="101">
        <f t="shared" si="2"/>
        <v>1.1438623674178299</v>
      </c>
      <c r="L12" s="101">
        <f>параметры!$B$9*ИБР!G12+параметры!$B$10*ИБР!K12+1-параметры!$B$9-параметры!$B$10</f>
        <v>1.0791285536617898</v>
      </c>
      <c r="M12" s="99">
        <f t="shared" si="7"/>
        <v>0</v>
      </c>
      <c r="N12" s="101">
        <f t="shared" si="8"/>
        <v>1.2622076323348379</v>
      </c>
      <c r="O12" s="102">
        <v>66.8</v>
      </c>
      <c r="P12" s="101">
        <f t="shared" si="3"/>
        <v>0.94357990800907776</v>
      </c>
      <c r="Q12" s="101">
        <f t="shared" si="4"/>
        <v>0.96278662293361261</v>
      </c>
      <c r="R12" s="101">
        <v>31.2</v>
      </c>
      <c r="S12" s="101">
        <f t="shared" si="5"/>
        <v>1.1731322985149077</v>
      </c>
      <c r="T12" s="101">
        <f>параметры!$B$15*ИБР!N12+параметры!$B$16*ИБР!P12+параметры!$B$18*ИБР!Q12+параметры!$B$17*ИБР!S12</f>
        <v>1.0527131951178237</v>
      </c>
      <c r="U12" s="101">
        <f t="shared" si="6"/>
        <v>1.1272463925722531</v>
      </c>
    </row>
    <row r="13" spans="1:21" ht="25.5" x14ac:dyDescent="0.35">
      <c r="A13" s="20">
        <v>7</v>
      </c>
      <c r="B13" s="22" t="s">
        <v>7</v>
      </c>
      <c r="C13" s="98">
        <f>'1 часть дотации'!C13</f>
        <v>2185</v>
      </c>
      <c r="D13" s="98">
        <v>2185</v>
      </c>
      <c r="E13" s="99">
        <v>1295</v>
      </c>
      <c r="F13" s="100">
        <f t="shared" si="0"/>
        <v>1</v>
      </c>
      <c r="G13" s="101">
        <f t="shared" si="1"/>
        <v>1.1624567290976977</v>
      </c>
      <c r="H13" s="107">
        <v>155.16230272927999</v>
      </c>
      <c r="I13" s="102">
        <v>3845.4797625366668</v>
      </c>
      <c r="J13" s="102">
        <v>7528.6378516392579</v>
      </c>
      <c r="K13" s="101">
        <f t="shared" si="2"/>
        <v>0.81810181441669372</v>
      </c>
      <c r="L13" s="101">
        <f>параметры!$B$9*ИБР!G13+параметры!$B$10*ИБР!K13+1-параметры!$B$9-параметры!$B$10</f>
        <v>1.0607850997256398</v>
      </c>
      <c r="M13" s="99">
        <f t="shared" si="7"/>
        <v>0</v>
      </c>
      <c r="N13" s="101">
        <f t="shared" si="8"/>
        <v>1.4077803203661328</v>
      </c>
      <c r="O13" s="102">
        <v>66.48</v>
      </c>
      <c r="P13" s="101">
        <f t="shared" si="3"/>
        <v>1.0473632250180793</v>
      </c>
      <c r="Q13" s="101">
        <f t="shared" si="4"/>
        <v>1.4568874758004406</v>
      </c>
      <c r="R13" s="101">
        <v>25.6</v>
      </c>
      <c r="S13" s="101">
        <f t="shared" si="5"/>
        <v>1.0735850398097349</v>
      </c>
      <c r="T13" s="101">
        <f>параметры!$B$15*ИБР!N13+параметры!$B$16*ИБР!P13+параметры!$B$18*ИБР!Q13+параметры!$B$17*ИБР!S13</f>
        <v>1.3999277700714705</v>
      </c>
      <c r="U13" s="101">
        <f t="shared" si="6"/>
        <v>1.4735627784522909</v>
      </c>
    </row>
    <row r="14" spans="1:21" ht="25.5" x14ac:dyDescent="0.35">
      <c r="A14" s="20">
        <v>8</v>
      </c>
      <c r="B14" s="22" t="s">
        <v>8</v>
      </c>
      <c r="C14" s="98">
        <f>'1 часть дотации'!C14</f>
        <v>1158</v>
      </c>
      <c r="D14" s="98">
        <v>1158</v>
      </c>
      <c r="E14" s="99">
        <v>0</v>
      </c>
      <c r="F14" s="100">
        <f t="shared" si="0"/>
        <v>1</v>
      </c>
      <c r="G14" s="101">
        <f t="shared" si="1"/>
        <v>1.1624567290976977</v>
      </c>
      <c r="H14" s="107">
        <v>0</v>
      </c>
      <c r="I14" s="102">
        <v>0</v>
      </c>
      <c r="J14" s="102">
        <v>7528.6378516392579</v>
      </c>
      <c r="K14" s="101">
        <f t="shared" si="2"/>
        <v>0.15</v>
      </c>
      <c r="L14" s="101">
        <f>параметры!$B$9*ИБР!G14+параметры!$B$10*ИБР!K14+1-параметры!$B$9-параметры!$B$10</f>
        <v>1.0231645384130239</v>
      </c>
      <c r="M14" s="99">
        <f t="shared" si="7"/>
        <v>0</v>
      </c>
      <c r="N14" s="101">
        <f t="shared" si="8"/>
        <v>2.6563039723661483</v>
      </c>
      <c r="O14" s="102">
        <v>34.700000000000003</v>
      </c>
      <c r="P14" s="101">
        <f t="shared" si="3"/>
        <v>1.0315224083295698</v>
      </c>
      <c r="Q14" s="101">
        <f t="shared" si="4"/>
        <v>0.9147411306390697</v>
      </c>
      <c r="R14" s="101">
        <v>13.6</v>
      </c>
      <c r="S14" s="101">
        <f t="shared" si="5"/>
        <v>1.0761635444660138</v>
      </c>
      <c r="T14" s="101">
        <f>параметры!$B$15*ИБР!N14+параметры!$B$16*ИБР!P14+параметры!$B$18*ИБР!Q14+параметры!$B$17*ИБР!S14</f>
        <v>1.3232164872308185</v>
      </c>
      <c r="U14" s="101">
        <f t="shared" si="6"/>
        <v>1.3434205479076857</v>
      </c>
    </row>
    <row r="15" spans="1:21" ht="25.5" x14ac:dyDescent="0.35">
      <c r="A15" s="20">
        <v>9</v>
      </c>
      <c r="B15" s="22" t="s">
        <v>9</v>
      </c>
      <c r="C15" s="98">
        <f>'1 часть дотации'!C15</f>
        <v>582</v>
      </c>
      <c r="D15" s="98">
        <v>582</v>
      </c>
      <c r="E15" s="99">
        <v>10</v>
      </c>
      <c r="F15" s="100">
        <f t="shared" si="0"/>
        <v>1</v>
      </c>
      <c r="G15" s="101">
        <f t="shared" si="1"/>
        <v>1.1624567290976977</v>
      </c>
      <c r="H15" s="107">
        <v>53.855009517120003</v>
      </c>
      <c r="I15" s="102">
        <v>14016.560860433492</v>
      </c>
      <c r="J15" s="102">
        <v>7528.6378516392579</v>
      </c>
      <c r="K15" s="101">
        <f t="shared" si="2"/>
        <v>2.0250958691825574</v>
      </c>
      <c r="L15" s="101">
        <f>параметры!$B$9*ИБР!G15+параметры!$B$10*ИБР!K15+1-параметры!$B$9-параметры!$B$10</f>
        <v>1.1287504799438131</v>
      </c>
      <c r="M15" s="99">
        <f t="shared" si="7"/>
        <v>0</v>
      </c>
      <c r="N15" s="101">
        <f t="shared" si="8"/>
        <v>5.2852233676975944</v>
      </c>
      <c r="O15" s="102">
        <v>14.5</v>
      </c>
      <c r="P15" s="101">
        <f t="shared" si="3"/>
        <v>0.85763553869999132</v>
      </c>
      <c r="Q15" s="101">
        <f t="shared" si="4"/>
        <v>0.93045833219644203</v>
      </c>
      <c r="R15" s="101">
        <v>5.7</v>
      </c>
      <c r="S15" s="101">
        <f t="shared" si="5"/>
        <v>0.89742837724913715</v>
      </c>
      <c r="T15" s="101">
        <f>параметры!$B$15*ИБР!N15+параметры!$B$16*ИБР!P15+параметры!$B$18*ИБР!Q15+параметры!$B$17*ИБР!S15</f>
        <v>1.9004298332737357</v>
      </c>
      <c r="U15" s="101">
        <f t="shared" si="6"/>
        <v>2.1285575213445935</v>
      </c>
    </row>
    <row r="16" spans="1:21" ht="25.5" x14ac:dyDescent="0.35">
      <c r="A16" s="20">
        <v>10</v>
      </c>
      <c r="B16" s="22" t="s">
        <v>10</v>
      </c>
      <c r="C16" s="98">
        <f>'1 часть дотации'!C16</f>
        <v>1972</v>
      </c>
      <c r="D16" s="98">
        <v>1972</v>
      </c>
      <c r="E16" s="99">
        <v>502</v>
      </c>
      <c r="F16" s="100">
        <f t="shared" si="0"/>
        <v>1</v>
      </c>
      <c r="G16" s="101">
        <f t="shared" si="1"/>
        <v>1.1624567290976977</v>
      </c>
      <c r="H16" s="107">
        <v>63.218722878080001</v>
      </c>
      <c r="I16" s="102">
        <v>4688.7428044039689</v>
      </c>
      <c r="J16" s="102">
        <v>7528.6378516392579</v>
      </c>
      <c r="K16" s="101">
        <f t="shared" si="2"/>
        <v>0.82672539260722944</v>
      </c>
      <c r="L16" s="101">
        <f>параметры!$B$9*ИБР!G16+параметры!$B$10*ИБР!K16+1-параметры!$B$9-параметры!$B$10</f>
        <v>1.0612706901626818</v>
      </c>
      <c r="M16" s="99">
        <f t="shared" si="7"/>
        <v>0</v>
      </c>
      <c r="N16" s="101">
        <f t="shared" si="8"/>
        <v>1.5598377281947262</v>
      </c>
      <c r="O16" s="102">
        <v>61.21</v>
      </c>
      <c r="P16" s="101">
        <f t="shared" si="3"/>
        <v>1.0684967864050852</v>
      </c>
      <c r="Q16" s="101">
        <f t="shared" si="4"/>
        <v>1.1476011953352223</v>
      </c>
      <c r="R16" s="101">
        <v>34.090000000000003</v>
      </c>
      <c r="S16" s="101">
        <f t="shared" si="5"/>
        <v>1.5840468335118179</v>
      </c>
      <c r="T16" s="101">
        <f>параметры!$B$15*ИБР!N16+параметры!$B$16*ИБР!P16+параметры!$B$18*ИБР!Q16+параметры!$B$17*ИБР!S16</f>
        <v>1.2870546307665403</v>
      </c>
      <c r="U16" s="101">
        <f t="shared" si="6"/>
        <v>1.3553727666684554</v>
      </c>
    </row>
    <row r="17" spans="1:21" ht="26.25" x14ac:dyDescent="0.4">
      <c r="A17" s="20"/>
      <c r="B17" s="8" t="s">
        <v>11</v>
      </c>
      <c r="C17" s="25">
        <f>C7+C8+C9+C10+C11+C12+C13+C14+C15+C16</f>
        <v>30760</v>
      </c>
      <c r="D17" s="25">
        <f>D7+D8+D9+D10+D11+D12+D13+D14+D15+D16</f>
        <v>9266</v>
      </c>
      <c r="E17" s="25">
        <f>E7+E8+E9+E10+E11+E12+E13+E14+E15+E16</f>
        <v>2867</v>
      </c>
      <c r="F17" s="103">
        <f t="shared" si="0"/>
        <v>0.30123537061118333</v>
      </c>
      <c r="G17" s="104">
        <f t="shared" si="1"/>
        <v>1</v>
      </c>
      <c r="H17" s="105">
        <f>SUM(H7:H16)</f>
        <v>1300.103578001208</v>
      </c>
      <c r="I17" s="105">
        <f>SUM(I7:I16)</f>
        <v>53670.657672419569</v>
      </c>
      <c r="J17" s="105">
        <f>SUM(J7:J16)</f>
        <v>75286.378516392579</v>
      </c>
      <c r="K17" s="104">
        <f t="shared" ref="K17" si="9">0.2*H17/$H$17+0.65*I17/$I$17+0.15*J17/$J$17</f>
        <v>1</v>
      </c>
      <c r="L17" s="104">
        <f>параметры!$B$9*ИБР!G17+параметры!$B$10*ИБР!K17+1-параметры!$B$9-параметры!$B$10</f>
        <v>0.99999999999999989</v>
      </c>
      <c r="M17" s="99"/>
      <c r="N17" s="101"/>
      <c r="O17" s="106">
        <f>O7+O8+O9+O10+O11+O12+O13+O14+O15+O16</f>
        <v>893.57</v>
      </c>
      <c r="P17" s="104">
        <f t="shared" si="3"/>
        <v>1</v>
      </c>
      <c r="Q17" s="104">
        <f t="shared" si="4"/>
        <v>1</v>
      </c>
      <c r="R17" s="104">
        <f>R7+R8+R9+R10+R11+R12+R13+R14+R15+R16</f>
        <v>335.69000000000005</v>
      </c>
      <c r="S17" s="104">
        <f t="shared" si="5"/>
        <v>1</v>
      </c>
      <c r="T17" s="101"/>
      <c r="U17" s="101"/>
    </row>
    <row r="18" spans="1:21" s="7" customFormat="1" x14ac:dyDescent="0.3">
      <c r="B18" s="21"/>
    </row>
    <row r="19" spans="1:21" ht="15" customHeight="1" x14ac:dyDescent="0.3">
      <c r="C19" s="145" t="s">
        <v>34</v>
      </c>
      <c r="D19" s="146"/>
      <c r="E19" s="146"/>
      <c r="F19" s="146"/>
      <c r="G19" s="146"/>
      <c r="H19" s="146"/>
      <c r="I19" s="146"/>
      <c r="J19" s="146"/>
      <c r="K19" s="131"/>
      <c r="L19" s="131"/>
      <c r="M19" s="131"/>
      <c r="N19" s="131"/>
      <c r="O19" s="131"/>
      <c r="P19" s="131"/>
      <c r="Q19" s="131"/>
    </row>
    <row r="20" spans="1:21" ht="33" customHeight="1" x14ac:dyDescent="0.3">
      <c r="C20" s="146"/>
      <c r="D20" s="146"/>
      <c r="E20" s="146"/>
      <c r="F20" s="146"/>
      <c r="G20" s="146"/>
      <c r="H20" s="146"/>
      <c r="I20" s="146"/>
      <c r="J20" s="146"/>
      <c r="K20" s="131"/>
      <c r="L20" s="131"/>
      <c r="M20" s="131"/>
      <c r="N20" s="131"/>
      <c r="O20" s="131"/>
      <c r="P20" s="131"/>
      <c r="Q20" s="131"/>
    </row>
    <row r="21" spans="1:21" ht="49.5" customHeight="1" x14ac:dyDescent="0.3">
      <c r="C21" s="146"/>
      <c r="D21" s="146"/>
      <c r="E21" s="146"/>
      <c r="F21" s="146"/>
      <c r="G21" s="146"/>
      <c r="H21" s="146"/>
      <c r="I21" s="146"/>
      <c r="J21" s="146"/>
      <c r="K21" s="131"/>
      <c r="L21" s="131"/>
      <c r="M21" s="131"/>
      <c r="N21" s="131"/>
      <c r="O21" s="131"/>
      <c r="P21" s="131"/>
      <c r="Q21" s="131"/>
    </row>
    <row r="22" spans="1:21" ht="66.75" customHeight="1" x14ac:dyDescent="0.3">
      <c r="C22" s="146"/>
      <c r="D22" s="146"/>
      <c r="E22" s="146"/>
      <c r="F22" s="146"/>
      <c r="G22" s="146"/>
      <c r="H22" s="146"/>
      <c r="I22" s="146"/>
      <c r="J22" s="146"/>
      <c r="K22" s="131"/>
      <c r="L22" s="131"/>
      <c r="M22" s="131"/>
      <c r="N22" s="131"/>
      <c r="O22" s="131"/>
      <c r="P22" s="131"/>
      <c r="Q22" s="131"/>
    </row>
    <row r="23" spans="1:21" ht="27.75" customHeight="1" x14ac:dyDescent="0.3"/>
  </sheetData>
  <mergeCells count="23">
    <mergeCell ref="C5:C6"/>
    <mergeCell ref="C19:Q22"/>
    <mergeCell ref="R5:R6"/>
    <mergeCell ref="E5:E6"/>
    <mergeCell ref="F5:F6"/>
    <mergeCell ref="G5:G6"/>
    <mergeCell ref="H5:H6"/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Q25"/>
  <sheetViews>
    <sheetView tabSelected="1" view="pageBreakPreview" zoomScale="60" zoomScaleNormal="73" workbookViewId="0">
      <selection activeCell="I9" sqref="I9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0" width="0" style="1" hidden="1" customWidth="1"/>
    <col min="11" max="34" width="16.28515625" style="1" hidden="1" customWidth="1"/>
    <col min="35" max="41" width="0" style="1" hidden="1" customWidth="1"/>
    <col min="42" max="16384" width="9.140625" style="1"/>
  </cols>
  <sheetData>
    <row r="2" spans="1:43" ht="31.5" customHeight="1" x14ac:dyDescent="0.2">
      <c r="A2" s="147" t="s">
        <v>86</v>
      </c>
      <c r="B2" s="147"/>
      <c r="C2" s="147"/>
      <c r="D2" s="147"/>
      <c r="E2" s="148"/>
      <c r="F2" s="148"/>
      <c r="G2" s="148"/>
      <c r="H2" s="148"/>
      <c r="I2" s="148"/>
    </row>
    <row r="3" spans="1:43" x14ac:dyDescent="0.2">
      <c r="A3" s="147"/>
      <c r="B3" s="147"/>
      <c r="C3" s="147"/>
      <c r="D3" s="147"/>
      <c r="E3" s="148"/>
      <c r="F3" s="148"/>
      <c r="G3" s="148"/>
      <c r="H3" s="148"/>
      <c r="I3" s="148"/>
    </row>
    <row r="4" spans="1:43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43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43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43" s="14" customFormat="1" ht="132.75" customHeight="1" x14ac:dyDescent="0.25">
      <c r="A7" s="150" t="s">
        <v>0</v>
      </c>
      <c r="B7" s="150" t="s">
        <v>14</v>
      </c>
      <c r="C7" s="150" t="s">
        <v>70</v>
      </c>
      <c r="D7" s="152" t="s">
        <v>87</v>
      </c>
      <c r="E7" s="149" t="s">
        <v>28</v>
      </c>
      <c r="F7" s="149" t="s">
        <v>29</v>
      </c>
      <c r="G7" s="155" t="s">
        <v>43</v>
      </c>
      <c r="H7" s="149" t="s">
        <v>88</v>
      </c>
      <c r="I7" s="149" t="s">
        <v>89</v>
      </c>
    </row>
    <row r="8" spans="1:43" s="14" customFormat="1" ht="150" customHeight="1" x14ac:dyDescent="0.25">
      <c r="A8" s="151"/>
      <c r="B8" s="151"/>
      <c r="C8" s="151"/>
      <c r="D8" s="152"/>
      <c r="E8" s="149"/>
      <c r="F8" s="149"/>
      <c r="G8" s="155"/>
      <c r="H8" s="149"/>
      <c r="I8" s="149"/>
      <c r="J8" s="30"/>
      <c r="K8" s="78" t="s">
        <v>68</v>
      </c>
      <c r="L8" s="57">
        <v>0.8</v>
      </c>
      <c r="M8" s="54" t="s">
        <v>57</v>
      </c>
      <c r="N8" s="56" t="s">
        <v>56</v>
      </c>
      <c r="O8" s="53" t="s">
        <v>57</v>
      </c>
      <c r="P8" s="56" t="s">
        <v>55</v>
      </c>
      <c r="Q8" s="52" t="s">
        <v>57</v>
      </c>
      <c r="R8" s="57">
        <v>0.5</v>
      </c>
      <c r="S8" s="55" t="s">
        <v>57</v>
      </c>
      <c r="T8" s="58">
        <v>0.4</v>
      </c>
      <c r="U8" s="55" t="s">
        <v>57</v>
      </c>
      <c r="V8" s="57">
        <v>0.3</v>
      </c>
      <c r="W8" s="55" t="s">
        <v>57</v>
      </c>
      <c r="X8" s="61">
        <v>0.2</v>
      </c>
      <c r="Y8" s="55" t="s">
        <v>57</v>
      </c>
      <c r="Z8" s="61">
        <v>0.1</v>
      </c>
      <c r="AA8" s="55"/>
      <c r="AB8" s="61">
        <v>0.01</v>
      </c>
      <c r="AC8" s="55"/>
      <c r="AD8" s="81">
        <v>1E-3</v>
      </c>
      <c r="AE8" s="66"/>
      <c r="AF8" s="14">
        <v>0</v>
      </c>
      <c r="AH8" s="14" t="s">
        <v>73</v>
      </c>
      <c r="AJ8" s="14">
        <v>0</v>
      </c>
    </row>
    <row r="9" spans="1:43" ht="25.5" x14ac:dyDescent="0.35">
      <c r="A9" s="44">
        <v>1</v>
      </c>
      <c r="B9" s="44" t="s">
        <v>1</v>
      </c>
      <c r="C9" s="28">
        <f>'1 часть дотации'!C7</f>
        <v>11040</v>
      </c>
      <c r="D9" s="45">
        <v>61545.1</v>
      </c>
      <c r="E9" s="42">
        <f>($D$19+параметры!$B$6)/'2 часть дотации'!$D$19</f>
        <v>2.3598560202992731</v>
      </c>
      <c r="F9" s="42">
        <f>ИНП!N10/ИБР!U7</f>
        <v>1.826000369767081</v>
      </c>
      <c r="G9" s="45">
        <f>($D$19/$C$19)*(E9-F9)*ИБР!U7*'2 часть дотации'!C9</f>
        <v>21905.067454537188</v>
      </c>
      <c r="H9" s="45">
        <f>параметры!$B$6*'2 часть дотации'!G9/SUM($G$9:$G$18)</f>
        <v>21905.06745453718</v>
      </c>
      <c r="I9" s="45">
        <f>'1 часть дотации'!D7+'2 часть дотации'!H9</f>
        <v>44063.668234771249</v>
      </c>
      <c r="K9" s="79">
        <v>45064.3</v>
      </c>
      <c r="L9" s="65">
        <v>59420.631999763908</v>
      </c>
      <c r="M9" s="68">
        <f>L9-K9</f>
        <v>14356.331999763905</v>
      </c>
      <c r="N9" s="65">
        <v>57295.901704508375</v>
      </c>
      <c r="O9" s="64">
        <f>N9-K9</f>
        <v>12231.601704508372</v>
      </c>
      <c r="P9" s="65">
        <v>55173.225553746975</v>
      </c>
      <c r="Q9" s="64">
        <f>P9-K9</f>
        <v>10108.925553746973</v>
      </c>
      <c r="R9" s="76">
        <v>53052.600570063514</v>
      </c>
      <c r="S9" s="64">
        <f t="shared" ref="S9:S19" si="0">R9-K9</f>
        <v>7988.3005700635113</v>
      </c>
      <c r="T9" s="69">
        <v>50934.023781793207</v>
      </c>
      <c r="U9" s="68">
        <f t="shared" ref="U9:U19" si="1">T9-K9</f>
        <v>5869.7237817932037</v>
      </c>
      <c r="V9" s="67">
        <v>48817.492223008921</v>
      </c>
      <c r="W9" s="68">
        <f t="shared" ref="W9:W19" si="2">V9-K9</f>
        <v>3753.1922230089185</v>
      </c>
      <c r="X9" s="67">
        <v>46703.002933507189</v>
      </c>
      <c r="Y9" s="68">
        <f t="shared" ref="Y9:Y18" si="3">X9-K9</f>
        <v>1638.7029335071857</v>
      </c>
      <c r="Z9" s="67">
        <v>44590.552958794447</v>
      </c>
      <c r="AA9" s="68">
        <f t="shared" ref="AA9:AA18" si="4">Z9-K9</f>
        <v>-473.74704120555543</v>
      </c>
      <c r="AB9" s="67"/>
      <c r="AC9" s="68">
        <f>AB9-K9</f>
        <v>-45064.3</v>
      </c>
      <c r="AD9" s="65"/>
      <c r="AE9" s="64">
        <f>AD9-K9</f>
        <v>-45064.3</v>
      </c>
      <c r="AF9" s="65">
        <v>42480.139350073354</v>
      </c>
      <c r="AG9" s="62">
        <f>AF9-K9</f>
        <v>-2584.1606499266491</v>
      </c>
      <c r="AH9" s="59">
        <v>48320.675745757108</v>
      </c>
      <c r="AI9" s="59">
        <f>AH9-K9</f>
        <v>3256.3757457571046</v>
      </c>
      <c r="AJ9" s="59"/>
      <c r="AK9" s="59"/>
      <c r="AL9" s="59"/>
      <c r="AM9" s="59"/>
      <c r="AN9" s="59"/>
      <c r="AO9" s="59"/>
      <c r="AP9" s="59"/>
      <c r="AQ9" s="59"/>
    </row>
    <row r="10" spans="1:43" ht="25.5" x14ac:dyDescent="0.35">
      <c r="A10" s="44">
        <v>2</v>
      </c>
      <c r="B10" s="44" t="s">
        <v>2</v>
      </c>
      <c r="C10" s="28">
        <f>'1 часть дотации'!C8</f>
        <v>2892</v>
      </c>
      <c r="D10" s="45">
        <v>12932.1</v>
      </c>
      <c r="E10" s="42">
        <f>($D$19+параметры!$B$6)/'2 часть дотации'!$D$19</f>
        <v>2.3598560202992731</v>
      </c>
      <c r="F10" s="42">
        <f>ИНП!N11/ИБР!U8</f>
        <v>0.76556067799945071</v>
      </c>
      <c r="G10" s="45">
        <f>($D$19/$C$19)*(E10-F10)*ИБР!U8*'2 часть дотации'!C10</f>
        <v>22529.364693688447</v>
      </c>
      <c r="H10" s="45">
        <f>параметры!$B$6*'2 часть дотации'!G10/SUM($G$9:$G$18)</f>
        <v>22529.36469368844</v>
      </c>
      <c r="I10" s="45">
        <f>'1 часть дотации'!D8+'2 часть дотации'!H10</f>
        <v>28333.954680684539</v>
      </c>
      <c r="K10" s="79">
        <v>27971.200000000001</v>
      </c>
      <c r="L10" s="65">
        <v>27537.968715786556</v>
      </c>
      <c r="M10" s="68">
        <f t="shared" ref="M10:M18" si="5">L10-K10</f>
        <v>-433.23128421344518</v>
      </c>
      <c r="N10" s="65">
        <v>27569.403454699343</v>
      </c>
      <c r="O10" s="64">
        <f t="shared" ref="O10:O18" si="6">N10-K10</f>
        <v>-401.79654530065818</v>
      </c>
      <c r="P10" s="65">
        <v>27600.807803168704</v>
      </c>
      <c r="Q10" s="64">
        <f>P10-K10</f>
        <v>-370.39219683129704</v>
      </c>
      <c r="R10" s="76">
        <v>27632.181805244578</v>
      </c>
      <c r="S10" s="64">
        <f t="shared" si="0"/>
        <v>-339.01819475542288</v>
      </c>
      <c r="T10" s="69">
        <v>27663.525504891863</v>
      </c>
      <c r="U10" s="68">
        <f t="shared" si="1"/>
        <v>-307.67449510813822</v>
      </c>
      <c r="V10" s="67">
        <v>27694.838945990552</v>
      </c>
      <c r="W10" s="68">
        <f t="shared" si="2"/>
        <v>-276.36105400944871</v>
      </c>
      <c r="X10" s="67">
        <v>27726.122172335941</v>
      </c>
      <c r="Y10" s="68">
        <f t="shared" si="3"/>
        <v>-245.07782766405944</v>
      </c>
      <c r="Z10" s="67">
        <v>27757.37522763887</v>
      </c>
      <c r="AA10" s="68">
        <f t="shared" si="4"/>
        <v>-213.82477236113118</v>
      </c>
      <c r="AB10" s="67"/>
      <c r="AC10" s="68">
        <f t="shared" ref="AC10:AC18" si="7">AB10-K10</f>
        <v>-27971.200000000001</v>
      </c>
      <c r="AD10" s="65"/>
      <c r="AE10" s="64">
        <f t="shared" ref="AE10:AE18" si="8">AD10-K10</f>
        <v>-27971.200000000001</v>
      </c>
      <c r="AF10" s="65">
        <v>27788.598155525906</v>
      </c>
      <c r="AG10" s="62">
        <f t="shared" ref="AG10:AG18" si="9">AF10-K10</f>
        <v>-182.60184447409483</v>
      </c>
      <c r="AH10" s="59">
        <v>28067.288181231903</v>
      </c>
      <c r="AI10" s="59">
        <f t="shared" ref="AI10:AI18" si="10">AH10-K10</f>
        <v>96.088181231902126</v>
      </c>
      <c r="AJ10" s="59"/>
      <c r="AK10" s="59"/>
      <c r="AL10" s="59"/>
      <c r="AM10" s="59"/>
      <c r="AN10" s="59"/>
      <c r="AO10" s="59"/>
      <c r="AP10" s="59"/>
      <c r="AQ10" s="59"/>
    </row>
    <row r="11" spans="1:43" ht="25.5" x14ac:dyDescent="0.35">
      <c r="A11" s="44">
        <v>3</v>
      </c>
      <c r="B11" s="44" t="s">
        <v>3</v>
      </c>
      <c r="C11" s="28">
        <f>'1 часть дотации'!C9</f>
        <v>1440</v>
      </c>
      <c r="D11" s="45">
        <v>5768.4</v>
      </c>
      <c r="E11" s="42">
        <f>($D$19+параметры!$B$6)/'2 часть дотации'!$D$19</f>
        <v>2.3598560202992731</v>
      </c>
      <c r="F11" s="42">
        <f>ИНП!N12/ИБР!U9</f>
        <v>0.59802097181714964</v>
      </c>
      <c r="G11" s="45">
        <f>($D$19/$C$19)*(E11-F11)*ИБР!U9*'2 часть дотации'!C11</f>
        <v>15296.498924072061</v>
      </c>
      <c r="H11" s="45">
        <f>параметры!$B$6*'2 часть дотации'!G11/SUM($G$9:$G$18)</f>
        <v>15296.498924072055</v>
      </c>
      <c r="I11" s="45">
        <f>'1 часть дотации'!D9+'2 часть дотации'!H11</f>
        <v>18186.751199754759</v>
      </c>
      <c r="K11" s="79">
        <v>16562.8</v>
      </c>
      <c r="L11" s="65">
        <v>14552.040898810334</v>
      </c>
      <c r="M11" s="68">
        <f t="shared" si="5"/>
        <v>-2010.7591011896657</v>
      </c>
      <c r="N11" s="65">
        <v>14965.892577125924</v>
      </c>
      <c r="O11" s="64">
        <f t="shared" si="6"/>
        <v>-1596.9074228740756</v>
      </c>
      <c r="P11" s="65">
        <v>15379.344152356294</v>
      </c>
      <c r="Q11" s="64">
        <f>P11-K11</f>
        <v>-1183.4558476437051</v>
      </c>
      <c r="R11" s="76">
        <v>15792.39620443797</v>
      </c>
      <c r="S11" s="64">
        <f t="shared" si="0"/>
        <v>-770.4037955620297</v>
      </c>
      <c r="T11" s="69">
        <v>16205.049312187191</v>
      </c>
      <c r="U11" s="68">
        <f t="shared" si="1"/>
        <v>-357.75068781280788</v>
      </c>
      <c r="V11" s="67">
        <v>16617.304053302687</v>
      </c>
      <c r="W11" s="68">
        <f t="shared" si="2"/>
        <v>54.50405330268768</v>
      </c>
      <c r="X11" s="67">
        <v>17029.161004368285</v>
      </c>
      <c r="Y11" s="68">
        <f t="shared" si="3"/>
        <v>466.36100436828565</v>
      </c>
      <c r="Z11" s="67">
        <v>17440.620740855669</v>
      </c>
      <c r="AA11" s="68">
        <f t="shared" si="4"/>
        <v>877.82074085567001</v>
      </c>
      <c r="AB11" s="67"/>
      <c r="AC11" s="68">
        <f t="shared" si="7"/>
        <v>-16562.8</v>
      </c>
      <c r="AD11" s="65"/>
      <c r="AE11" s="64">
        <f t="shared" si="8"/>
        <v>-16562.8</v>
      </c>
      <c r="AF11" s="65">
        <v>17851.683837127035</v>
      </c>
      <c r="AG11" s="62">
        <f t="shared" si="9"/>
        <v>1288.8838371270358</v>
      </c>
      <c r="AH11" s="59">
        <v>17311.340972439619</v>
      </c>
      <c r="AI11" s="59">
        <f t="shared" si="10"/>
        <v>748.54097243961951</v>
      </c>
      <c r="AJ11" s="59"/>
      <c r="AK11" s="59"/>
      <c r="AL11" s="59"/>
      <c r="AM11" s="59"/>
      <c r="AN11" s="59"/>
      <c r="AO11" s="59"/>
      <c r="AP11" s="59"/>
      <c r="AQ11" s="59"/>
    </row>
    <row r="12" spans="1:43" ht="25.5" x14ac:dyDescent="0.35">
      <c r="A12" s="44">
        <v>4</v>
      </c>
      <c r="B12" s="44" t="s">
        <v>4</v>
      </c>
      <c r="C12" s="28">
        <f>'1 часть дотации'!C10</f>
        <v>2658</v>
      </c>
      <c r="D12" s="45">
        <v>10287.6</v>
      </c>
      <c r="E12" s="42">
        <f>($D$19+параметры!$B$6)/'2 часть дотации'!$D$19</f>
        <v>2.3598560202992731</v>
      </c>
      <c r="F12" s="42">
        <f>ИНП!N13/ИБР!U10</f>
        <v>0.68108265026808656</v>
      </c>
      <c r="G12" s="45">
        <f>($D$19/$C$19)*(E12-F12)*ИБР!U10*'2 часть дотации'!C12</f>
        <v>21448.706024331161</v>
      </c>
      <c r="H12" s="45">
        <f>параметры!$B$6*'2 часть дотации'!G12/SUM($G$9:$G$18)</f>
        <v>21448.706024331157</v>
      </c>
      <c r="I12" s="45">
        <f>'1 часть дотации'!D10+'2 часть дотации'!H12</f>
        <v>26783.630016528816</v>
      </c>
      <c r="K12" s="79">
        <v>26889.8</v>
      </c>
      <c r="L12" s="65">
        <v>25545.005307815547</v>
      </c>
      <c r="M12" s="68">
        <f t="shared" si="5"/>
        <v>-1344.7946921844523</v>
      </c>
      <c r="N12" s="65">
        <v>25638.515279778523</v>
      </c>
      <c r="O12" s="64">
        <f t="shared" si="6"/>
        <v>-1251.2847202214762</v>
      </c>
      <c r="P12" s="65">
        <v>25731.934848270295</v>
      </c>
      <c r="Q12" s="64">
        <f>P12-K12</f>
        <v>-1157.8651517297039</v>
      </c>
      <c r="R12" s="76">
        <v>25825.264144327775</v>
      </c>
      <c r="S12" s="64">
        <f t="shared" si="0"/>
        <v>-1064.535855672224</v>
      </c>
      <c r="T12" s="69">
        <v>25918.503298734773</v>
      </c>
      <c r="U12" s="68">
        <f t="shared" si="1"/>
        <v>-971.29670126522615</v>
      </c>
      <c r="V12" s="67">
        <v>26011.652442022561</v>
      </c>
      <c r="W12" s="68">
        <f t="shared" si="2"/>
        <v>-878.14755797743783</v>
      </c>
      <c r="X12" s="67">
        <v>26104.711704470516</v>
      </c>
      <c r="Y12" s="68">
        <f t="shared" si="3"/>
        <v>-785.08829552948373</v>
      </c>
      <c r="Z12" s="67">
        <v>26197.681216106721</v>
      </c>
      <c r="AA12" s="68">
        <f t="shared" si="4"/>
        <v>-692.11878389327831</v>
      </c>
      <c r="AB12" s="67"/>
      <c r="AC12" s="68">
        <f t="shared" si="7"/>
        <v>-26889.8</v>
      </c>
      <c r="AD12" s="65"/>
      <c r="AE12" s="64">
        <f t="shared" si="8"/>
        <v>-26889.8</v>
      </c>
      <c r="AF12" s="65">
        <v>26290.561106708585</v>
      </c>
      <c r="AG12" s="62">
        <f t="shared" si="9"/>
        <v>-599.23889329141457</v>
      </c>
      <c r="AH12" s="59">
        <v>26562.266043529384</v>
      </c>
      <c r="AI12" s="59">
        <f t="shared" si="10"/>
        <v>-327.53395647061552</v>
      </c>
      <c r="AJ12" s="59"/>
      <c r="AK12" s="59"/>
      <c r="AL12" s="59"/>
      <c r="AM12" s="59"/>
      <c r="AN12" s="59"/>
      <c r="AO12" s="59"/>
      <c r="AP12" s="59"/>
      <c r="AQ12" s="59"/>
    </row>
    <row r="13" spans="1:43" ht="25.5" x14ac:dyDescent="0.35">
      <c r="A13" s="44">
        <v>5</v>
      </c>
      <c r="B13" s="44" t="s">
        <v>5</v>
      </c>
      <c r="C13" s="28">
        <f>'1 часть дотации'!C11</f>
        <v>4396</v>
      </c>
      <c r="D13" s="45">
        <v>18540.099999999999</v>
      </c>
      <c r="E13" s="42">
        <f>($D$19+параметры!$B$6)/'2 часть дотации'!$D$19</f>
        <v>2.3598560202992731</v>
      </c>
      <c r="F13" s="42">
        <f>ИНП!N14/ИБР!U11</f>
        <v>0.47959154639760482</v>
      </c>
      <c r="G13" s="45">
        <f>($D$19/$C$19)*(E13-F13)*ИБР!U11*'2 часть дотации'!C13</f>
        <v>43461.047097997194</v>
      </c>
      <c r="H13" s="45">
        <f>параметры!$B$6*'2 часть дотации'!G13/SUM($G$9:$G$18)</f>
        <v>43461.04709799718</v>
      </c>
      <c r="I13" s="45">
        <f>'1 часть дотации'!D11+'2 часть дотации'!H13</f>
        <v>52284.345017372994</v>
      </c>
      <c r="K13" s="79">
        <v>49142</v>
      </c>
      <c r="L13" s="65">
        <v>54415.212999651485</v>
      </c>
      <c r="M13" s="68">
        <f t="shared" si="5"/>
        <v>5273.212999651485</v>
      </c>
      <c r="N13" s="65">
        <v>54036.074359592392</v>
      </c>
      <c r="O13" s="64">
        <f t="shared" si="6"/>
        <v>4894.0743595923923</v>
      </c>
      <c r="P13" s="65">
        <v>53657.30226278436</v>
      </c>
      <c r="Q13" s="64">
        <f t="shared" ref="Q13:Q18" si="11">P13-K13</f>
        <v>4515.3022627843602</v>
      </c>
      <c r="R13" s="76">
        <v>53278.89617793473</v>
      </c>
      <c r="S13" s="64">
        <f t="shared" si="0"/>
        <v>4136.8961779347301</v>
      </c>
      <c r="T13" s="69">
        <v>52900.85557477719</v>
      </c>
      <c r="U13" s="68">
        <f t="shared" si="1"/>
        <v>3758.8555747771898</v>
      </c>
      <c r="V13" s="67">
        <v>52523.179924069205</v>
      </c>
      <c r="W13" s="68">
        <f t="shared" si="2"/>
        <v>3381.1799240692053</v>
      </c>
      <c r="X13" s="67">
        <v>52145.868697589634</v>
      </c>
      <c r="Y13" s="68">
        <f t="shared" si="3"/>
        <v>3003.8686975896344</v>
      </c>
      <c r="Z13" s="67">
        <v>51768.921368136173</v>
      </c>
      <c r="AA13" s="68">
        <f t="shared" si="4"/>
        <v>2626.9213681361725</v>
      </c>
      <c r="AB13" s="67"/>
      <c r="AC13" s="68">
        <f t="shared" si="7"/>
        <v>-49142</v>
      </c>
      <c r="AD13" s="65"/>
      <c r="AE13" s="64">
        <f t="shared" si="8"/>
        <v>-49142</v>
      </c>
      <c r="AF13" s="65">
        <v>51392.337409523017</v>
      </c>
      <c r="AG13" s="62">
        <f t="shared" si="9"/>
        <v>2250.3374095230174</v>
      </c>
      <c r="AH13" s="59">
        <v>52846.565668059971</v>
      </c>
      <c r="AI13" s="59">
        <f t="shared" si="10"/>
        <v>3704.5656680599714</v>
      </c>
      <c r="AJ13" s="59"/>
      <c r="AK13" s="59"/>
      <c r="AL13" s="59"/>
      <c r="AM13" s="59"/>
      <c r="AN13" s="59"/>
      <c r="AO13" s="59"/>
      <c r="AP13" s="59"/>
      <c r="AQ13" s="59"/>
    </row>
    <row r="14" spans="1:43" ht="25.5" x14ac:dyDescent="0.35">
      <c r="A14" s="44">
        <v>6</v>
      </c>
      <c r="B14" s="44" t="s">
        <v>6</v>
      </c>
      <c r="C14" s="28">
        <f>'1 часть дотации'!C12</f>
        <v>2437</v>
      </c>
      <c r="D14" s="45">
        <v>11512</v>
      </c>
      <c r="E14" s="42">
        <f>($D$19+параметры!$B$6)/'2 часть дотации'!$D$19</f>
        <v>2.3598560202992731</v>
      </c>
      <c r="F14" s="42">
        <f>ИНП!N15/ИБР!U12</f>
        <v>0.64598388270629348</v>
      </c>
      <c r="G14" s="45">
        <f>($D$19/$C$19)*(E14-F14)*ИБР!U12*'2 часть дотации'!C14</f>
        <v>24297.714881333526</v>
      </c>
      <c r="H14" s="45">
        <f>параметры!$B$6*'2 часть дотации'!G14/SUM($G$9:$G$18)</f>
        <v>24297.714881333519</v>
      </c>
      <c r="I14" s="45">
        <f>'1 часть дотации'!D12+'2 часть дотации'!H14</f>
        <v>29189.06543399932</v>
      </c>
      <c r="K14" s="79">
        <v>29490.2</v>
      </c>
      <c r="L14" s="65">
        <v>27296.546117918024</v>
      </c>
      <c r="M14" s="68">
        <f t="shared" si="5"/>
        <v>-2193.6538820819769</v>
      </c>
      <c r="N14" s="65">
        <v>27465.289055179855</v>
      </c>
      <c r="O14" s="64">
        <f t="shared" si="6"/>
        <v>-2024.9109448201452</v>
      </c>
      <c r="P14" s="65">
        <v>27633.868855324345</v>
      </c>
      <c r="Q14" s="64">
        <f t="shared" si="11"/>
        <v>-1856.3311446756561</v>
      </c>
      <c r="R14" s="76">
        <v>27802.285754813485</v>
      </c>
      <c r="S14" s="64">
        <f t="shared" si="0"/>
        <v>-1687.9142451865155</v>
      </c>
      <c r="T14" s="69">
        <v>27970.53998965248</v>
      </c>
      <c r="U14" s="68">
        <f t="shared" si="1"/>
        <v>-1519.6600103475212</v>
      </c>
      <c r="V14" s="67">
        <v>28138.631795390891</v>
      </c>
      <c r="W14" s="68">
        <f t="shared" si="2"/>
        <v>-1351.5682046091097</v>
      </c>
      <c r="X14" s="67">
        <v>28306.561407123707</v>
      </c>
      <c r="Y14" s="68">
        <f t="shared" si="3"/>
        <v>-1183.6385928762938</v>
      </c>
      <c r="Z14" s="67">
        <v>28474.329059492433</v>
      </c>
      <c r="AA14" s="68">
        <f t="shared" si="4"/>
        <v>-1015.8709405075679</v>
      </c>
      <c r="AB14" s="67"/>
      <c r="AC14" s="68">
        <f t="shared" si="7"/>
        <v>-29490.2</v>
      </c>
      <c r="AD14" s="65"/>
      <c r="AE14" s="64">
        <f t="shared" si="8"/>
        <v>-29490.2</v>
      </c>
      <c r="AF14" s="65">
        <v>28641.934986686178</v>
      </c>
      <c r="AG14" s="62">
        <f t="shared" si="9"/>
        <v>-848.26501331382315</v>
      </c>
      <c r="AH14" s="59">
        <v>28119.255399390873</v>
      </c>
      <c r="AI14" s="59">
        <f t="shared" si="10"/>
        <v>-1370.9446006091275</v>
      </c>
      <c r="AJ14" s="59"/>
      <c r="AK14" s="59"/>
      <c r="AL14" s="59"/>
      <c r="AM14" s="59"/>
      <c r="AN14" s="59"/>
      <c r="AO14" s="59"/>
      <c r="AP14" s="59"/>
      <c r="AQ14" s="59"/>
    </row>
    <row r="15" spans="1:43" ht="25.5" x14ac:dyDescent="0.35">
      <c r="A15" s="44">
        <v>7</v>
      </c>
      <c r="B15" s="44" t="s">
        <v>7</v>
      </c>
      <c r="C15" s="28">
        <f>'1 часть дотации'!C13</f>
        <v>2185</v>
      </c>
      <c r="D15" s="45">
        <v>10923.4</v>
      </c>
      <c r="E15" s="42">
        <f>($D$19+параметры!$B$6)/'2 часть дотации'!$D$19</f>
        <v>2.3598560202992731</v>
      </c>
      <c r="F15" s="42">
        <f>ИНП!N16/ИБР!U13</f>
        <v>0.60202195510688694</v>
      </c>
      <c r="G15" s="45">
        <f>($D$19/$C$19)*(E15-F15)*ИБР!U13*'2 часть дотации'!C15</f>
        <v>29208.589852420657</v>
      </c>
      <c r="H15" s="45">
        <f>параметры!$B$6*'2 часть дотации'!G15/SUM($G$9:$G$18)</f>
        <v>29208.58985242065</v>
      </c>
      <c r="I15" s="45">
        <f>'1 часть дотации'!D13+'2 часть дотации'!H15</f>
        <v>33594.146256841974</v>
      </c>
      <c r="K15" s="79">
        <v>31282.3</v>
      </c>
      <c r="L15" s="65">
        <v>31083.521183332254</v>
      </c>
      <c r="M15" s="68">
        <f t="shared" si="5"/>
        <v>-198.77881666774556</v>
      </c>
      <c r="N15" s="65">
        <v>31317.984474274155</v>
      </c>
      <c r="O15" s="64">
        <f t="shared" si="6"/>
        <v>35.684474274155946</v>
      </c>
      <c r="P15" s="65">
        <v>31552.22109104511</v>
      </c>
      <c r="Q15" s="64">
        <f t="shared" si="11"/>
        <v>269.9210910451111</v>
      </c>
      <c r="R15" s="76">
        <v>31786.23136220203</v>
      </c>
      <c r="S15" s="64">
        <f t="shared" si="0"/>
        <v>503.93136220203087</v>
      </c>
      <c r="T15" s="69">
        <v>32020.015615667115</v>
      </c>
      <c r="U15" s="68">
        <f t="shared" si="1"/>
        <v>737.71561566711534</v>
      </c>
      <c r="V15" s="67">
        <v>32253.574178729497</v>
      </c>
      <c r="W15" s="68">
        <f t="shared" si="2"/>
        <v>971.27417872949809</v>
      </c>
      <c r="X15" s="67">
        <v>32486.907378046606</v>
      </c>
      <c r="Y15" s="68">
        <f t="shared" si="3"/>
        <v>1204.6073780466068</v>
      </c>
      <c r="Z15" s="67">
        <v>32720.015539645872</v>
      </c>
      <c r="AA15" s="68">
        <f t="shared" si="4"/>
        <v>1437.7155396458729</v>
      </c>
      <c r="AB15" s="67"/>
      <c r="AC15" s="68">
        <f t="shared" si="7"/>
        <v>-31282.3</v>
      </c>
      <c r="AD15" s="65"/>
      <c r="AE15" s="64">
        <f t="shared" si="8"/>
        <v>-31282.3</v>
      </c>
      <c r="AF15" s="65">
        <v>32952.898988926136</v>
      </c>
      <c r="AG15" s="62">
        <f t="shared" si="9"/>
        <v>1670.5989889261364</v>
      </c>
      <c r="AH15" s="59">
        <v>33353.569494140465</v>
      </c>
      <c r="AI15" s="59">
        <f t="shared" si="10"/>
        <v>2071.2694941404661</v>
      </c>
      <c r="AJ15" s="59"/>
      <c r="AK15" s="59"/>
      <c r="AL15" s="59"/>
      <c r="AM15" s="59"/>
      <c r="AN15" s="59"/>
      <c r="AO15" s="59"/>
      <c r="AP15" s="59"/>
      <c r="AQ15" s="59"/>
    </row>
    <row r="16" spans="1:43" ht="25.5" x14ac:dyDescent="0.35">
      <c r="A16" s="44">
        <v>8</v>
      </c>
      <c r="B16" s="44" t="s">
        <v>8</v>
      </c>
      <c r="C16" s="28">
        <f>'1 часть дотации'!C14</f>
        <v>1158</v>
      </c>
      <c r="D16" s="45">
        <v>3651.7</v>
      </c>
      <c r="E16" s="42">
        <f>($D$19+параметры!$B$6)/'2 часть дотации'!$D$19</f>
        <v>2.3598560202992731</v>
      </c>
      <c r="F16" s="42">
        <f>ИНП!N17/ИБР!U14</f>
        <v>0.24911927085932142</v>
      </c>
      <c r="G16" s="45">
        <f>($D$19/$C$19)*(E16-F16)*ИБР!U14*'2 часть дотации'!C16</f>
        <v>16946.001766789377</v>
      </c>
      <c r="H16" s="45">
        <f>параметры!$B$6*'2 часть дотации'!G16/SUM($G$9:$G$18)</f>
        <v>16946.001766789374</v>
      </c>
      <c r="I16" s="45">
        <f>'1 часть дотации'!D14+'2 часть дотации'!H16</f>
        <v>19270.246305150882</v>
      </c>
      <c r="K16" s="79">
        <v>19405.900000000001</v>
      </c>
      <c r="L16" s="65">
        <v>14841.175511632202</v>
      </c>
      <c r="M16" s="68">
        <f t="shared" si="5"/>
        <v>-4564.7244883677995</v>
      </c>
      <c r="N16" s="65">
        <v>15357.82288328396</v>
      </c>
      <c r="O16" s="64">
        <f t="shared" si="6"/>
        <v>-4048.0771167160419</v>
      </c>
      <c r="P16" s="65">
        <v>15873.970771139475</v>
      </c>
      <c r="Q16" s="64">
        <f t="shared" si="11"/>
        <v>-3531.9292288605266</v>
      </c>
      <c r="R16" s="76">
        <v>16389.619899184388</v>
      </c>
      <c r="S16" s="64">
        <f t="shared" si="0"/>
        <v>-3016.280100815613</v>
      </c>
      <c r="T16" s="69">
        <v>16904.770990005833</v>
      </c>
      <c r="U16" s="68">
        <f t="shared" si="1"/>
        <v>-2501.1290099941689</v>
      </c>
      <c r="V16" s="67">
        <v>17419.424764795833</v>
      </c>
      <c r="W16" s="68">
        <f t="shared" si="2"/>
        <v>-1986.4752352041687</v>
      </c>
      <c r="X16" s="67">
        <v>17933.581943354577</v>
      </c>
      <c r="Y16" s="68">
        <f t="shared" si="3"/>
        <v>-1472.3180566454248</v>
      </c>
      <c r="Z16" s="67">
        <v>18447.243244093886</v>
      </c>
      <c r="AA16" s="68">
        <f t="shared" si="4"/>
        <v>-958.656755906115</v>
      </c>
      <c r="AB16" s="67"/>
      <c r="AC16" s="68">
        <f t="shared" si="7"/>
        <v>-19405.900000000001</v>
      </c>
      <c r="AD16" s="65"/>
      <c r="AE16" s="64">
        <f t="shared" si="8"/>
        <v>-19405.900000000001</v>
      </c>
      <c r="AF16" s="65">
        <v>18960.409384040482</v>
      </c>
      <c r="AG16" s="62">
        <f t="shared" si="9"/>
        <v>-445.49061595951935</v>
      </c>
      <c r="AH16" s="59">
        <v>18063.693742905649</v>
      </c>
      <c r="AI16" s="59">
        <f t="shared" si="10"/>
        <v>-1342.2062570943526</v>
      </c>
      <c r="AJ16" s="59"/>
      <c r="AK16" s="59"/>
      <c r="AL16" s="59"/>
      <c r="AM16" s="59"/>
      <c r="AN16" s="59"/>
      <c r="AO16" s="59"/>
      <c r="AP16" s="59"/>
      <c r="AQ16" s="59"/>
    </row>
    <row r="17" spans="1:43" ht="25.5" x14ac:dyDescent="0.35">
      <c r="A17" s="44">
        <v>9</v>
      </c>
      <c r="B17" s="44" t="s">
        <v>9</v>
      </c>
      <c r="C17" s="28">
        <f>'1 часть дотации'!C15</f>
        <v>582</v>
      </c>
      <c r="D17" s="45">
        <v>1910.3</v>
      </c>
      <c r="E17" s="42">
        <f>($D$19+параметры!$B$6)/'2 часть дотации'!$D$19</f>
        <v>2.3598560202992731</v>
      </c>
      <c r="F17" s="42">
        <f>ИНП!N18/ИБР!U15</f>
        <v>0.23920243827118617</v>
      </c>
      <c r="G17" s="45">
        <f>($D$19/$C$19)*(E17-F17)*ИБР!U15*'2 часть дотации'!C17</f>
        <v>13557.847221294653</v>
      </c>
      <c r="H17" s="45">
        <f>параметры!$B$6*'2 часть дотации'!G17/SUM($G$9:$G$18)</f>
        <v>13557.847221294649</v>
      </c>
      <c r="I17" s="45">
        <f>'1 часть дотации'!D15+'2 часть дотации'!H17</f>
        <v>14725.990849383075</v>
      </c>
      <c r="K17" s="79">
        <v>13849.6</v>
      </c>
      <c r="L17" s="65">
        <v>8524.1877609026415</v>
      </c>
      <c r="M17" s="68">
        <f t="shared" si="5"/>
        <v>-5325.4122390973589</v>
      </c>
      <c r="N17" s="65">
        <v>9271.0922165431202</v>
      </c>
      <c r="O17" s="64">
        <f t="shared" si="6"/>
        <v>-4578.5077834568801</v>
      </c>
      <c r="P17" s="65">
        <v>10017.274580688689</v>
      </c>
      <c r="Q17" s="64">
        <f t="shared" si="11"/>
        <v>-3832.3254193113116</v>
      </c>
      <c r="R17" s="76">
        <v>10762.735899987681</v>
      </c>
      <c r="S17" s="64">
        <f t="shared" si="0"/>
        <v>-3086.8641000123189</v>
      </c>
      <c r="T17" s="69">
        <v>11507.477219066619</v>
      </c>
      <c r="U17" s="68">
        <f t="shared" si="1"/>
        <v>-2342.1227809333814</v>
      </c>
      <c r="V17" s="67">
        <v>12251.499580535128</v>
      </c>
      <c r="W17" s="68">
        <f t="shared" si="2"/>
        <v>-1598.1004194648722</v>
      </c>
      <c r="X17" s="67">
        <v>12994.804024990744</v>
      </c>
      <c r="Y17" s="68">
        <f t="shared" si="3"/>
        <v>-854.79597500925593</v>
      </c>
      <c r="Z17" s="67">
        <v>13737.391591023836</v>
      </c>
      <c r="AA17" s="68">
        <f t="shared" si="4"/>
        <v>-112.20840897616472</v>
      </c>
      <c r="AB17" s="67"/>
      <c r="AC17" s="68">
        <f t="shared" si="7"/>
        <v>-13849.6</v>
      </c>
      <c r="AD17" s="65"/>
      <c r="AE17" s="64">
        <f t="shared" si="8"/>
        <v>-13849.6</v>
      </c>
      <c r="AF17" s="65">
        <v>14479.263315222381</v>
      </c>
      <c r="AG17" s="62">
        <f t="shared" si="9"/>
        <v>629.66331522238033</v>
      </c>
      <c r="AH17" s="59">
        <v>12978.315966745931</v>
      </c>
      <c r="AI17" s="59">
        <f t="shared" si="10"/>
        <v>-871.28403325406907</v>
      </c>
      <c r="AJ17" s="59"/>
      <c r="AK17" s="59"/>
      <c r="AL17" s="59"/>
      <c r="AM17" s="59"/>
      <c r="AN17" s="59"/>
      <c r="AO17" s="59"/>
      <c r="AP17" s="59"/>
      <c r="AQ17" s="59"/>
    </row>
    <row r="18" spans="1:43" ht="25.5" x14ac:dyDescent="0.35">
      <c r="A18" s="44">
        <v>10</v>
      </c>
      <c r="B18" s="44" t="s">
        <v>10</v>
      </c>
      <c r="C18" s="28">
        <f>'1 часть дотации'!C16</f>
        <v>1972</v>
      </c>
      <c r="D18" s="45">
        <v>21673.9</v>
      </c>
      <c r="E18" s="42">
        <f>($D$19+параметры!$B$6)/'2 часть дотации'!$D$19</f>
        <v>2.3598560202992731</v>
      </c>
      <c r="F18" s="42">
        <f>ИНП!N19/ИБР!U16</f>
        <v>1.8365009147490252</v>
      </c>
      <c r="G18" s="45">
        <f>($D$19/$C$19)*(E18-F18)*ИБР!U16*'2 часть дотации'!C18</f>
        <v>7218.9620835357546</v>
      </c>
      <c r="H18" s="45">
        <f>параметры!$B$6*'2 часть дотации'!G18/SUM($G$9:$G$18)</f>
        <v>7218.9620835357528</v>
      </c>
      <c r="I18" s="45">
        <f>'1 часть дотации'!D16+'2 часть дотации'!H18</f>
        <v>11177.002005512346</v>
      </c>
      <c r="K18" s="79">
        <v>11824.4</v>
      </c>
      <c r="L18" s="65">
        <v>8266.2095043870686</v>
      </c>
      <c r="M18" s="68">
        <f t="shared" si="5"/>
        <v>-3558.190495612931</v>
      </c>
      <c r="N18" s="65">
        <v>8564.5239950143314</v>
      </c>
      <c r="O18" s="64">
        <f t="shared" si="6"/>
        <v>-3259.8760049856683</v>
      </c>
      <c r="P18" s="65">
        <v>8862.5500814757452</v>
      </c>
      <c r="Q18" s="64">
        <f t="shared" si="11"/>
        <v>-2961.8499185242545</v>
      </c>
      <c r="R18" s="76">
        <v>9160.2881818038622</v>
      </c>
      <c r="S18" s="64">
        <f t="shared" si="0"/>
        <v>-2664.1118181961374</v>
      </c>
      <c r="T18" s="69">
        <v>9457.7387132237036</v>
      </c>
      <c r="U18" s="68">
        <f t="shared" si="1"/>
        <v>-2366.661286776296</v>
      </c>
      <c r="V18" s="67">
        <v>9754.9020921547381</v>
      </c>
      <c r="W18" s="68">
        <f t="shared" si="2"/>
        <v>-2069.4979078452616</v>
      </c>
      <c r="X18" s="67">
        <v>10051.77873421281</v>
      </c>
      <c r="Y18" s="68">
        <f t="shared" si="3"/>
        <v>-1772.6212657871893</v>
      </c>
      <c r="Z18" s="67">
        <v>10348.369054212073</v>
      </c>
      <c r="AA18" s="68">
        <f t="shared" si="4"/>
        <v>-1476.0309457879266</v>
      </c>
      <c r="AB18" s="67"/>
      <c r="AC18" s="68">
        <f t="shared" si="7"/>
        <v>-11824.4</v>
      </c>
      <c r="AD18" s="65"/>
      <c r="AE18" s="64">
        <f t="shared" si="8"/>
        <v>-11824.4</v>
      </c>
      <c r="AF18" s="65">
        <v>10644.673466166987</v>
      </c>
      <c r="AG18" s="62">
        <f t="shared" si="9"/>
        <v>-1179.7265338330126</v>
      </c>
      <c r="AH18" s="59">
        <v>10092.228785799118</v>
      </c>
      <c r="AI18" s="59">
        <f t="shared" si="10"/>
        <v>-1732.1712142008819</v>
      </c>
      <c r="AJ18" s="59"/>
      <c r="AK18" s="59"/>
      <c r="AL18" s="59"/>
      <c r="AM18" s="59"/>
      <c r="AN18" s="59"/>
      <c r="AO18" s="59"/>
      <c r="AP18" s="59"/>
      <c r="AQ18" s="59"/>
    </row>
    <row r="19" spans="1:43" s="29" customFormat="1" ht="26.25" x14ac:dyDescent="0.4">
      <c r="A19" s="46"/>
      <c r="B19" s="46" t="s">
        <v>11</v>
      </c>
      <c r="C19" s="47">
        <f>C9+C10+C11+C12+C13+C14+C15+C16+C17+C18</f>
        <v>30760</v>
      </c>
      <c r="D19" s="48">
        <f t="shared" ref="D19:H19" si="12">D9+D10+D11+D12+D13+D14+D15+D16+D17+D18</f>
        <v>158744.59999999998</v>
      </c>
      <c r="E19" s="43">
        <f>($D$19+параметры!$B$6)/'2 часть дотации'!$D$19</f>
        <v>2.3598560202992731</v>
      </c>
      <c r="F19" s="43"/>
      <c r="G19" s="48">
        <f t="shared" si="12"/>
        <v>215869.80000000005</v>
      </c>
      <c r="H19" s="48">
        <f t="shared" si="12"/>
        <v>215869.8</v>
      </c>
      <c r="I19" s="48">
        <f t="shared" ref="I19" si="13">SUM(I9:I18)</f>
        <v>277608.8</v>
      </c>
      <c r="K19" s="80">
        <f>SUM(K9:K18)</f>
        <v>271482.5</v>
      </c>
      <c r="L19" s="71">
        <f>L9+L10+L11+L12+L13+L14+L15+L16+L17+L18</f>
        <v>271482.5</v>
      </c>
      <c r="M19" s="72">
        <f>M9+M10+M12+M11+M13+M14+M15+M16+M17+M18</f>
        <v>1.4551915228366852E-11</v>
      </c>
      <c r="N19" s="73">
        <f>N9+N10+N11+N12+N13+N14+N15+N16+N17+N18</f>
        <v>271482.49999999994</v>
      </c>
      <c r="O19" s="70">
        <f>N19-G19</f>
        <v>55612.699999999895</v>
      </c>
      <c r="P19" s="73">
        <f>SUM(P9:P18)</f>
        <v>271482.5</v>
      </c>
      <c r="Q19" s="70">
        <f>P19-K19</f>
        <v>0</v>
      </c>
      <c r="R19" s="77">
        <f>R9+R10+R11+R12+R13+R14+R15+R16+R17+R18</f>
        <v>271482.5</v>
      </c>
      <c r="S19" s="70">
        <f t="shared" si="0"/>
        <v>0</v>
      </c>
      <c r="T19" s="74">
        <f>T9+T10+T11+T12+T13+T14+T15+T16+T17+T18</f>
        <v>271482.5</v>
      </c>
      <c r="U19" s="72">
        <f t="shared" si="1"/>
        <v>0</v>
      </c>
      <c r="V19" s="71">
        <f>V9+V10+V11+V12+V13+V14+V15+V16+V17+V18</f>
        <v>271482.50000000006</v>
      </c>
      <c r="W19" s="72">
        <f t="shared" si="2"/>
        <v>0</v>
      </c>
      <c r="X19" s="71">
        <f>X9+X10+X11+X12+X13+X14+X15+X16+X17+X18</f>
        <v>271482.5</v>
      </c>
      <c r="Y19" s="72">
        <f>Y9+Y10+Y11+Y12+Y13+Y14+Y15+Y16+Y17+Y18</f>
        <v>5.4569682106375694E-12</v>
      </c>
      <c r="Z19" s="71">
        <f>SUM(Z9:Z18)</f>
        <v>271482.49999999994</v>
      </c>
      <c r="AA19" s="71">
        <f t="shared" ref="AA19:AC19" si="14">SUM(AA9:AA18)</f>
        <v>-2.3646862246096134E-11</v>
      </c>
      <c r="AB19" s="71">
        <f t="shared" si="14"/>
        <v>0</v>
      </c>
      <c r="AC19" s="71">
        <f t="shared" si="14"/>
        <v>-271482.5</v>
      </c>
      <c r="AD19" s="71">
        <f t="shared" ref="AD19" si="15">SUM(AD9:AD18)</f>
        <v>0</v>
      </c>
      <c r="AE19" s="72">
        <f t="shared" ref="AE19" si="16">SUM(AE9:AE18)</f>
        <v>-271482.5</v>
      </c>
      <c r="AF19" s="65">
        <f>SUM(AF9:AF18)</f>
        <v>271482.50000000006</v>
      </c>
      <c r="AG19" s="75">
        <f>SUM(AG9:AG18)</f>
        <v>5.6388671509921551E-11</v>
      </c>
      <c r="AH19" s="63">
        <f>SUM(AH9:AH18)</f>
        <v>275715.20000000001</v>
      </c>
      <c r="AI19" s="63"/>
      <c r="AJ19" s="63"/>
      <c r="AK19" s="63"/>
      <c r="AL19" s="63"/>
      <c r="AM19" s="63"/>
      <c r="AN19" s="63"/>
      <c r="AO19" s="63"/>
      <c r="AP19" s="63"/>
      <c r="AQ19" s="63"/>
    </row>
    <row r="20" spans="1:43" x14ac:dyDescent="0.2">
      <c r="A20" s="39"/>
      <c r="B20" s="39"/>
      <c r="C20" s="39"/>
      <c r="D20" s="49"/>
      <c r="E20" s="39"/>
      <c r="F20" s="39"/>
      <c r="G20" s="39"/>
      <c r="H20" s="39"/>
      <c r="I20" s="39"/>
    </row>
    <row r="24" spans="1:43" ht="15" customHeight="1" x14ac:dyDescent="0.2">
      <c r="A24" s="153" t="s">
        <v>31</v>
      </c>
      <c r="B24" s="154"/>
      <c r="C24" s="154"/>
      <c r="D24" s="154"/>
      <c r="E24" s="154"/>
      <c r="F24" s="154"/>
      <c r="G24" s="154"/>
      <c r="H24" s="154"/>
    </row>
    <row r="25" spans="1:43" ht="39.75" customHeight="1" x14ac:dyDescent="0.2">
      <c r="A25" s="154"/>
      <c r="B25" s="154"/>
      <c r="C25" s="154"/>
      <c r="D25" s="154"/>
      <c r="E25" s="154"/>
      <c r="F25" s="154"/>
      <c r="G25" s="154"/>
      <c r="H25" s="154"/>
    </row>
  </sheetData>
  <mergeCells count="11">
    <mergeCell ref="A24:H25"/>
    <mergeCell ref="E7:E8"/>
    <mergeCell ref="F7:F8"/>
    <mergeCell ref="G7:G8"/>
    <mergeCell ref="H7:H8"/>
    <mergeCell ref="A2:I3"/>
    <mergeCell ref="I7:I8"/>
    <mergeCell ref="A7:A8"/>
    <mergeCell ref="B7:B8"/>
    <mergeCell ref="C7:C8"/>
    <mergeCell ref="D7:D8"/>
  </mergeCells>
  <pageMargins left="0.45" right="0.27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параметры</vt:lpstr>
      <vt:lpstr>1 часть дотации</vt:lpstr>
      <vt:lpstr>ИНП</vt:lpstr>
      <vt:lpstr>ИБР</vt:lpstr>
      <vt:lpstr>2 часть дотации</vt:lpstr>
      <vt:lpstr>ИБР!Заголовки_для_печати</vt:lpstr>
      <vt:lpstr>'2 часть дотации'!Область_печати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022215</cp:lastModifiedBy>
  <cp:lastPrinted>2020-10-15T14:08:30Z</cp:lastPrinted>
  <dcterms:created xsi:type="dcterms:W3CDTF">1996-10-08T23:32:33Z</dcterms:created>
  <dcterms:modified xsi:type="dcterms:W3CDTF">2020-10-16T12:28:13Z</dcterms:modified>
</cp:coreProperties>
</file>