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<sst xmlns="http://schemas.openxmlformats.org/spreadsheetml/2006/main" count="683" uniqueCount="233">
  <si>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</si>
  <si>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</si>
  <si>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</si>
  <si>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</si>
  <si>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</si>
  <si>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</si>
  <si>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</si>
  <si>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</si>
  <si>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</si>
  <si>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</si>
  <si>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</si>
  <si>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</si>
  <si>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</si>
  <si>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</si>
  <si>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</si>
  <si>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</si>
  <si>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</si>
  <si>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</si>
  <si>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</si>
  <si>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</si>
  <si>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</si>
  <si>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</si>
  <si>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</si>
  <si>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</si>
  <si>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</si>
  <si>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</si>
  <si>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</si>
  <si>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</si>
  <si>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</si>
  <si>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</si>
  <si>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</si>
  <si>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</si>
  <si>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</si>
  <si>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</si>
  <si>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</si>
  <si>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</si>
  <si>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</si>
  <si>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</si>
  <si>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</si>
  <si>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</si>
  <si>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</si>
  <si>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</si>
  <si>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</si>
  <si>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</si>
  <si>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</si>
  <si>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</si>
  <si>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</si>
  <si>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</si>
  <si>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</si>
  <si>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</si>
  <si>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</si>
  <si>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</si>
  <si>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</si>
  <si>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</si>
  <si>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</si>
  <si>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</si>
  <si>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</si>
  <si>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</si>
  <si>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</si>
  <si>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</si>
  <si>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</si>
  <si>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</si>
  <si>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</si>
  <si>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</si>
  <si>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</si>
  <si>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</si>
  <si>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</si>
  <si>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</si>
  <si>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</si>
  <si>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</si>
  <si>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</si>
  <si>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</si>
  <si>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</si>
  <si>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</si>
  <si>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</si>
  <si>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</si>
  <si>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</si>
  <si>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</si>
  <si>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</si>
  <si>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</si>
  <si>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</si>
  <si>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</si>
  <si>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</si>
  <si>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</si>
  <si>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</si>
  <si>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</si>
  <si>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</si>
  <si>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</si>
  <si>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</si>
  <si>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</si>
  <si>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</si>
  <si>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</si>
  <si>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</si>
  <si>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</si>
  <si>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</si>
  <si>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</si>
  <si>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</si>
  <si>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</si>
  <si>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</si>
  <si>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</si>
  <si>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</si>
  <si>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</si>
  <si>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</si>
  <si>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</si>
  <si>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</si>
  <si>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</si>
  <si>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</si>
  <si>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</si>
  <si>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</si>
  <si>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</si>
  <si>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</si>
  <si>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</si>
  <si>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</si>
  <si>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</si>
  <si>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</si>
  <si>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</si>
  <si>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</si>
  <si>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</si>
  <si>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-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</si>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</sst>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PageLayoutView="0" workbookViewId="0" topLeftCell="A145">
      <selection activeCell="A173" sqref="A173:E17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42917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 t="s">
        <v>31</v>
      </c>
      <c r="I11" s="40"/>
      <c r="J11" s="40" t="s">
        <v>32</v>
      </c>
      <c r="K11" s="40"/>
      <c r="L11" s="33" t="s">
        <v>33</v>
      </c>
      <c r="M11" s="33"/>
      <c r="N11" s="33" t="s">
        <v>34</v>
      </c>
      <c r="O11" s="33"/>
      <c r="P11" s="33"/>
      <c r="Q11" s="33"/>
      <c r="R11" s="33"/>
      <c r="S11" s="34" t="s">
        <v>35</v>
      </c>
      <c r="T11" s="34"/>
      <c r="U11" s="34"/>
    </row>
    <row r="12" spans="1:21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6" t="s">
        <v>37</v>
      </c>
      <c r="I12" s="36"/>
      <c r="J12" s="36" t="s">
        <v>38</v>
      </c>
      <c r="K12" s="36"/>
      <c r="L12" s="38">
        <f>45322939.05</f>
        <v>45322939.05</v>
      </c>
      <c r="M12" s="38"/>
      <c r="N12" s="38">
        <f>21519327.02</f>
        <v>21519327.02</v>
      </c>
      <c r="O12" s="38"/>
      <c r="P12" s="38"/>
      <c r="Q12" s="38"/>
      <c r="R12" s="38"/>
      <c r="S12" s="52">
        <f>23803612.03</f>
        <v>23803612.03</v>
      </c>
      <c r="T12" s="52"/>
      <c r="U12" s="52"/>
    </row>
    <row r="13" spans="1:21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8" t="s">
        <v>37</v>
      </c>
      <c r="I13" s="28"/>
      <c r="J13" s="28" t="s">
        <v>40</v>
      </c>
      <c r="K13" s="28"/>
      <c r="L13" s="54">
        <f>342782.14</f>
        <v>342782.14</v>
      </c>
      <c r="M13" s="54"/>
      <c r="N13" s="54">
        <f>110239.38</f>
        <v>110239.38</v>
      </c>
      <c r="O13" s="54"/>
      <c r="P13" s="54"/>
      <c r="Q13" s="54"/>
      <c r="R13" s="54"/>
      <c r="S13" s="55">
        <f>232542.76</f>
        <v>232542.76</v>
      </c>
      <c r="T13" s="55"/>
      <c r="U13" s="55"/>
    </row>
    <row r="14" spans="1:21" s="1" customFormat="1" ht="33.75" customHeight="1">
      <c r="A14" s="26" t="s">
        <v>41</v>
      </c>
      <c r="B14" s="26"/>
      <c r="C14" s="26"/>
      <c r="D14" s="26"/>
      <c r="E14" s="26"/>
      <c r="F14" s="26"/>
      <c r="G14" s="26"/>
      <c r="H14" s="28" t="s">
        <v>37</v>
      </c>
      <c r="I14" s="28"/>
      <c r="J14" s="28" t="s">
        <v>42</v>
      </c>
      <c r="K14" s="28"/>
      <c r="L14" s="54">
        <f>54080.22</f>
        <v>54080.22</v>
      </c>
      <c r="M14" s="54"/>
      <c r="N14" s="54">
        <f>7677.17</f>
        <v>7677.17</v>
      </c>
      <c r="O14" s="54"/>
      <c r="P14" s="54"/>
      <c r="Q14" s="54"/>
      <c r="R14" s="54"/>
      <c r="S14" s="55">
        <f>46403.05</f>
        <v>46403.05</v>
      </c>
      <c r="T14" s="55"/>
      <c r="U14" s="55"/>
    </row>
    <row r="15" spans="1:21" s="1" customFormat="1" ht="45" customHeight="1">
      <c r="A15" s="26" t="s">
        <v>39</v>
      </c>
      <c r="B15" s="26"/>
      <c r="C15" s="26"/>
      <c r="D15" s="26"/>
      <c r="E15" s="26"/>
      <c r="F15" s="26"/>
      <c r="G15" s="26"/>
      <c r="H15" s="28" t="s">
        <v>37</v>
      </c>
      <c r="I15" s="28"/>
      <c r="J15" s="28" t="s">
        <v>43</v>
      </c>
      <c r="K15" s="28"/>
      <c r="L15" s="54">
        <f>76717.86</f>
        <v>76717.86</v>
      </c>
      <c r="M15" s="54"/>
      <c r="N15" s="54">
        <f>74053.56</f>
        <v>74053.56</v>
      </c>
      <c r="O15" s="54"/>
      <c r="P15" s="54"/>
      <c r="Q15" s="54"/>
      <c r="R15" s="54"/>
      <c r="S15" s="55">
        <f>2664.3</f>
        <v>2664.3</v>
      </c>
      <c r="T15" s="55"/>
      <c r="U15" s="55"/>
    </row>
    <row r="16" spans="1:21" s="1" customFormat="1" ht="33.75" customHeight="1">
      <c r="A16" s="26" t="s">
        <v>41</v>
      </c>
      <c r="B16" s="26"/>
      <c r="C16" s="26"/>
      <c r="D16" s="26"/>
      <c r="E16" s="26"/>
      <c r="F16" s="26"/>
      <c r="G16" s="26"/>
      <c r="H16" s="28" t="s">
        <v>37</v>
      </c>
      <c r="I16" s="28"/>
      <c r="J16" s="28" t="s">
        <v>44</v>
      </c>
      <c r="K16" s="28"/>
      <c r="L16" s="54">
        <f>919.78</f>
        <v>919.78</v>
      </c>
      <c r="M16" s="54"/>
      <c r="N16" s="54">
        <f>919.78</f>
        <v>919.78</v>
      </c>
      <c r="O16" s="54"/>
      <c r="P16" s="54"/>
      <c r="Q16" s="54"/>
      <c r="R16" s="54"/>
      <c r="S16" s="55">
        <f>0</f>
        <v>0</v>
      </c>
      <c r="T16" s="55"/>
      <c r="U16" s="55"/>
    </row>
    <row r="17" spans="1:21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8" t="s">
        <v>37</v>
      </c>
      <c r="I17" s="28"/>
      <c r="J17" s="28" t="s">
        <v>46</v>
      </c>
      <c r="K17" s="28"/>
      <c r="L17" s="54">
        <f>1854277.54</f>
        <v>1854277.54</v>
      </c>
      <c r="M17" s="54"/>
      <c r="N17" s="54">
        <f>942821.05</f>
        <v>942821.05</v>
      </c>
      <c r="O17" s="54"/>
      <c r="P17" s="54"/>
      <c r="Q17" s="54"/>
      <c r="R17" s="54"/>
      <c r="S17" s="55">
        <f>911456.49</f>
        <v>911456.49</v>
      </c>
      <c r="T17" s="55"/>
      <c r="U17" s="55"/>
    </row>
    <row r="18" spans="1:21" s="1" customFormat="1" ht="54.75" customHeight="1">
      <c r="A18" s="26" t="s">
        <v>47</v>
      </c>
      <c r="B18" s="26"/>
      <c r="C18" s="26"/>
      <c r="D18" s="26"/>
      <c r="E18" s="26"/>
      <c r="F18" s="26"/>
      <c r="G18" s="26"/>
      <c r="H18" s="28" t="s">
        <v>37</v>
      </c>
      <c r="I18" s="28"/>
      <c r="J18" s="28" t="s">
        <v>48</v>
      </c>
      <c r="K18" s="28"/>
      <c r="L18" s="54">
        <f>17347.09</f>
        <v>17347.09</v>
      </c>
      <c r="M18" s="54"/>
      <c r="N18" s="54">
        <f>10247.21</f>
        <v>10247.21</v>
      </c>
      <c r="O18" s="54"/>
      <c r="P18" s="54"/>
      <c r="Q18" s="54"/>
      <c r="R18" s="54"/>
      <c r="S18" s="55">
        <f>7099.88</f>
        <v>7099.88</v>
      </c>
      <c r="T18" s="55"/>
      <c r="U18" s="55"/>
    </row>
    <row r="19" spans="1:21" s="1" customFormat="1" ht="45" customHeight="1">
      <c r="A19" s="26" t="s">
        <v>49</v>
      </c>
      <c r="B19" s="26"/>
      <c r="C19" s="26"/>
      <c r="D19" s="26"/>
      <c r="E19" s="26"/>
      <c r="F19" s="26"/>
      <c r="G19" s="26"/>
      <c r="H19" s="28" t="s">
        <v>37</v>
      </c>
      <c r="I19" s="28"/>
      <c r="J19" s="28" t="s">
        <v>50</v>
      </c>
      <c r="K19" s="28"/>
      <c r="L19" s="54">
        <f>3450151.5</f>
        <v>3450151.5</v>
      </c>
      <c r="M19" s="54"/>
      <c r="N19" s="54">
        <f>1625569.61</f>
        <v>1625569.61</v>
      </c>
      <c r="O19" s="54"/>
      <c r="P19" s="54"/>
      <c r="Q19" s="54"/>
      <c r="R19" s="54"/>
      <c r="S19" s="55">
        <f>1824581.89</f>
        <v>1824581.89</v>
      </c>
      <c r="T19" s="55"/>
      <c r="U19" s="55"/>
    </row>
    <row r="20" spans="1:21" s="1" customFormat="1" ht="45" customHeight="1">
      <c r="A20" s="26" t="s">
        <v>51</v>
      </c>
      <c r="B20" s="26"/>
      <c r="C20" s="26"/>
      <c r="D20" s="26"/>
      <c r="E20" s="26"/>
      <c r="F20" s="26"/>
      <c r="G20" s="26"/>
      <c r="H20" s="28" t="s">
        <v>37</v>
      </c>
      <c r="I20" s="28"/>
      <c r="J20" s="28" t="s">
        <v>52</v>
      </c>
      <c r="K20" s="28"/>
      <c r="L20" s="54">
        <f>-314219.24</f>
        <v>-314219.24</v>
      </c>
      <c r="M20" s="54"/>
      <c r="N20" s="54">
        <f>-191236.19</f>
        <v>-191236.19</v>
      </c>
      <c r="O20" s="54"/>
      <c r="P20" s="54"/>
      <c r="Q20" s="54"/>
      <c r="R20" s="54"/>
      <c r="S20" s="55">
        <f>-122983.05</f>
        <v>-122983.05</v>
      </c>
      <c r="T20" s="55"/>
      <c r="U20" s="55"/>
    </row>
    <row r="21" spans="1:21" s="1" customFormat="1" ht="45" customHeight="1">
      <c r="A21" s="26" t="s">
        <v>53</v>
      </c>
      <c r="B21" s="26"/>
      <c r="C21" s="26"/>
      <c r="D21" s="26"/>
      <c r="E21" s="26"/>
      <c r="F21" s="26"/>
      <c r="G21" s="26"/>
      <c r="H21" s="28" t="s">
        <v>37</v>
      </c>
      <c r="I21" s="28"/>
      <c r="J21" s="28" t="s">
        <v>54</v>
      </c>
      <c r="K21" s="28"/>
      <c r="L21" s="54">
        <f>20000</f>
        <v>20000</v>
      </c>
      <c r="M21" s="54"/>
      <c r="N21" s="54">
        <f>20000</f>
        <v>20000</v>
      </c>
      <c r="O21" s="54"/>
      <c r="P21" s="54"/>
      <c r="Q21" s="54"/>
      <c r="R21" s="54"/>
      <c r="S21" s="55">
        <f>0</f>
        <v>0</v>
      </c>
      <c r="T21" s="55"/>
      <c r="U21" s="55"/>
    </row>
    <row r="22" spans="1:21" s="1" customFormat="1" ht="45" customHeight="1">
      <c r="A22" s="26" t="s">
        <v>55</v>
      </c>
      <c r="B22" s="26"/>
      <c r="C22" s="26"/>
      <c r="D22" s="26"/>
      <c r="E22" s="26"/>
      <c r="F22" s="26"/>
      <c r="G22" s="26"/>
      <c r="H22" s="28" t="s">
        <v>37</v>
      </c>
      <c r="I22" s="28"/>
      <c r="J22" s="28" t="s">
        <v>56</v>
      </c>
      <c r="K22" s="28"/>
      <c r="L22" s="54">
        <f>4262600</f>
        <v>4262600</v>
      </c>
      <c r="M22" s="54"/>
      <c r="N22" s="54">
        <f>2188620.42</f>
        <v>2188620.42</v>
      </c>
      <c r="O22" s="54"/>
      <c r="P22" s="54"/>
      <c r="Q22" s="54"/>
      <c r="R22" s="54"/>
      <c r="S22" s="55">
        <f>2073979.58</f>
        <v>2073979.58</v>
      </c>
      <c r="T22" s="55"/>
      <c r="U22" s="55"/>
    </row>
    <row r="23" spans="1:21" s="1" customFormat="1" ht="66" customHeight="1">
      <c r="A23" s="26" t="s">
        <v>57</v>
      </c>
      <c r="B23" s="26"/>
      <c r="C23" s="26"/>
      <c r="D23" s="26"/>
      <c r="E23" s="26"/>
      <c r="F23" s="26"/>
      <c r="G23" s="26"/>
      <c r="H23" s="28" t="s">
        <v>37</v>
      </c>
      <c r="I23" s="28"/>
      <c r="J23" s="28" t="s">
        <v>58</v>
      </c>
      <c r="K23" s="28"/>
      <c r="L23" s="54">
        <f>400</f>
        <v>400</v>
      </c>
      <c r="M23" s="54"/>
      <c r="N23" s="54">
        <f>364.2</f>
        <v>364.2</v>
      </c>
      <c r="O23" s="54"/>
      <c r="P23" s="54"/>
      <c r="Q23" s="54"/>
      <c r="R23" s="54"/>
      <c r="S23" s="55">
        <f>35.8</f>
        <v>35.8</v>
      </c>
      <c r="T23" s="55"/>
      <c r="U23" s="55"/>
    </row>
    <row r="24" spans="1:21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8" t="s">
        <v>37</v>
      </c>
      <c r="I24" s="28"/>
      <c r="J24" s="28" t="s">
        <v>60</v>
      </c>
      <c r="K24" s="28"/>
      <c r="L24" s="54">
        <f>10000</f>
        <v>10000</v>
      </c>
      <c r="M24" s="54"/>
      <c r="N24" s="54">
        <f>1374.86</f>
        <v>1374.86</v>
      </c>
      <c r="O24" s="54"/>
      <c r="P24" s="54"/>
      <c r="Q24" s="54"/>
      <c r="R24" s="54"/>
      <c r="S24" s="55">
        <f>8625.14</f>
        <v>8625.14</v>
      </c>
      <c r="T24" s="55"/>
      <c r="U24" s="55"/>
    </row>
    <row r="25" spans="1:21" s="1" customFormat="1" ht="13.5" customHeight="1">
      <c r="A25" s="26" t="s">
        <v>61</v>
      </c>
      <c r="B25" s="26"/>
      <c r="C25" s="26"/>
      <c r="D25" s="26"/>
      <c r="E25" s="26"/>
      <c r="F25" s="26"/>
      <c r="G25" s="26"/>
      <c r="H25" s="28" t="s">
        <v>37</v>
      </c>
      <c r="I25" s="28"/>
      <c r="J25" s="28" t="s">
        <v>62</v>
      </c>
      <c r="K25" s="28"/>
      <c r="L25" s="54">
        <f>1015000</f>
        <v>1015000</v>
      </c>
      <c r="M25" s="54"/>
      <c r="N25" s="54">
        <f>493426.86</f>
        <v>493426.86</v>
      </c>
      <c r="O25" s="54"/>
      <c r="P25" s="54"/>
      <c r="Q25" s="54"/>
      <c r="R25" s="54"/>
      <c r="S25" s="55">
        <f>521573.14</f>
        <v>521573.14</v>
      </c>
      <c r="T25" s="55"/>
      <c r="U25" s="55"/>
    </row>
    <row r="26" spans="1:21" s="1" customFormat="1" ht="13.5" customHeight="1">
      <c r="A26" s="26" t="s">
        <v>63</v>
      </c>
      <c r="B26" s="26"/>
      <c r="C26" s="26"/>
      <c r="D26" s="26"/>
      <c r="E26" s="26"/>
      <c r="F26" s="26"/>
      <c r="G26" s="26"/>
      <c r="H26" s="28" t="s">
        <v>37</v>
      </c>
      <c r="I26" s="28"/>
      <c r="J26" s="28" t="s">
        <v>64</v>
      </c>
      <c r="K26" s="28"/>
      <c r="L26" s="54">
        <f>99000</f>
        <v>99000</v>
      </c>
      <c r="M26" s="54"/>
      <c r="N26" s="54">
        <f>93273.7</f>
        <v>93273.7</v>
      </c>
      <c r="O26" s="54"/>
      <c r="P26" s="54"/>
      <c r="Q26" s="54"/>
      <c r="R26" s="54"/>
      <c r="S26" s="55">
        <f>5726.3</f>
        <v>5726.3</v>
      </c>
      <c r="T26" s="55"/>
      <c r="U26" s="55"/>
    </row>
    <row r="27" spans="1:21" s="1" customFormat="1" ht="24" customHeight="1">
      <c r="A27" s="26" t="s">
        <v>65</v>
      </c>
      <c r="B27" s="26"/>
      <c r="C27" s="26"/>
      <c r="D27" s="26"/>
      <c r="E27" s="26"/>
      <c r="F27" s="26"/>
      <c r="G27" s="26"/>
      <c r="H27" s="28" t="s">
        <v>37</v>
      </c>
      <c r="I27" s="28"/>
      <c r="J27" s="28" t="s">
        <v>66</v>
      </c>
      <c r="K27" s="28"/>
      <c r="L27" s="54">
        <f>291000</f>
        <v>291000</v>
      </c>
      <c r="M27" s="54"/>
      <c r="N27" s="54">
        <f>68942.98</f>
        <v>68942.98</v>
      </c>
      <c r="O27" s="54"/>
      <c r="P27" s="54"/>
      <c r="Q27" s="54"/>
      <c r="R27" s="54"/>
      <c r="S27" s="55">
        <f>222057.02</f>
        <v>222057.02</v>
      </c>
      <c r="T27" s="55"/>
      <c r="U27" s="55"/>
    </row>
    <row r="28" spans="1:21" s="1" customFormat="1" ht="24" customHeight="1">
      <c r="A28" s="26" t="s">
        <v>67</v>
      </c>
      <c r="B28" s="26"/>
      <c r="C28" s="26"/>
      <c r="D28" s="26"/>
      <c r="E28" s="26"/>
      <c r="F28" s="26"/>
      <c r="G28" s="26"/>
      <c r="H28" s="28" t="s">
        <v>37</v>
      </c>
      <c r="I28" s="28"/>
      <c r="J28" s="28" t="s">
        <v>68</v>
      </c>
      <c r="K28" s="28"/>
      <c r="L28" s="54">
        <f>578000</f>
        <v>578000</v>
      </c>
      <c r="M28" s="54"/>
      <c r="N28" s="54">
        <f>399773.85</f>
        <v>399773.85</v>
      </c>
      <c r="O28" s="54"/>
      <c r="P28" s="54"/>
      <c r="Q28" s="54"/>
      <c r="R28" s="54"/>
      <c r="S28" s="55">
        <f>178226.15</f>
        <v>178226.15</v>
      </c>
      <c r="T28" s="55"/>
      <c r="U28" s="55"/>
    </row>
    <row r="29" spans="1:21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8" t="s">
        <v>37</v>
      </c>
      <c r="I29" s="28"/>
      <c r="J29" s="28" t="s">
        <v>70</v>
      </c>
      <c r="K29" s="28"/>
      <c r="L29" s="54">
        <f>115000</f>
        <v>115000</v>
      </c>
      <c r="M29" s="54"/>
      <c r="N29" s="54">
        <f>15698.9</f>
        <v>15698.9</v>
      </c>
      <c r="O29" s="54"/>
      <c r="P29" s="54"/>
      <c r="Q29" s="54"/>
      <c r="R29" s="54"/>
      <c r="S29" s="55">
        <f>99301.1</f>
        <v>99301.1</v>
      </c>
      <c r="T29" s="55"/>
      <c r="U29" s="55"/>
    </row>
    <row r="30" spans="1:21" s="1" customFormat="1" ht="45" customHeight="1">
      <c r="A30" s="26" t="s">
        <v>71</v>
      </c>
      <c r="B30" s="26"/>
      <c r="C30" s="26"/>
      <c r="D30" s="26"/>
      <c r="E30" s="26"/>
      <c r="F30" s="26"/>
      <c r="G30" s="26"/>
      <c r="H30" s="28" t="s">
        <v>37</v>
      </c>
      <c r="I30" s="28"/>
      <c r="J30" s="28" t="s">
        <v>72</v>
      </c>
      <c r="K30" s="28"/>
      <c r="L30" s="54">
        <f>145000</f>
        <v>145000</v>
      </c>
      <c r="M30" s="54"/>
      <c r="N30" s="54">
        <f>18405</f>
        <v>18405</v>
      </c>
      <c r="O30" s="54"/>
      <c r="P30" s="54"/>
      <c r="Q30" s="54"/>
      <c r="R30" s="54"/>
      <c r="S30" s="55">
        <f>126595</f>
        <v>126595</v>
      </c>
      <c r="T30" s="55"/>
      <c r="U30" s="55"/>
    </row>
    <row r="31" spans="1:21" s="1" customFormat="1" ht="33.75" customHeight="1">
      <c r="A31" s="26" t="s">
        <v>73</v>
      </c>
      <c r="B31" s="26"/>
      <c r="C31" s="26"/>
      <c r="D31" s="26"/>
      <c r="E31" s="26"/>
      <c r="F31" s="26"/>
      <c r="G31" s="26"/>
      <c r="H31" s="28" t="s">
        <v>37</v>
      </c>
      <c r="I31" s="28"/>
      <c r="J31" s="28" t="s">
        <v>74</v>
      </c>
      <c r="K31" s="28"/>
      <c r="L31" s="54">
        <f>110000</f>
        <v>110000</v>
      </c>
      <c r="M31" s="54"/>
      <c r="N31" s="54">
        <f>63000</f>
        <v>63000</v>
      </c>
      <c r="O31" s="54"/>
      <c r="P31" s="54"/>
      <c r="Q31" s="54"/>
      <c r="R31" s="54"/>
      <c r="S31" s="55">
        <f>47000</f>
        <v>47000</v>
      </c>
      <c r="T31" s="55"/>
      <c r="U31" s="55"/>
    </row>
    <row r="32" spans="1:21" s="1" customFormat="1" ht="24" customHeight="1">
      <c r="A32" s="26" t="s">
        <v>75</v>
      </c>
      <c r="B32" s="26"/>
      <c r="C32" s="26"/>
      <c r="D32" s="26"/>
      <c r="E32" s="26"/>
      <c r="F32" s="26"/>
      <c r="G32" s="26"/>
      <c r="H32" s="28" t="s">
        <v>37</v>
      </c>
      <c r="I32" s="28"/>
      <c r="J32" s="28" t="s">
        <v>76</v>
      </c>
      <c r="K32" s="28"/>
      <c r="L32" s="54">
        <f>1330500</f>
        <v>1330500</v>
      </c>
      <c r="M32" s="54"/>
      <c r="N32" s="54">
        <f>520471.25</f>
        <v>520471.25</v>
      </c>
      <c r="O32" s="54"/>
      <c r="P32" s="54"/>
      <c r="Q32" s="54"/>
      <c r="R32" s="54"/>
      <c r="S32" s="55">
        <f>810028.75</f>
        <v>810028.75</v>
      </c>
      <c r="T32" s="55"/>
      <c r="U32" s="55"/>
    </row>
    <row r="33" spans="1:21" s="1" customFormat="1" ht="45" customHeight="1">
      <c r="A33" s="26" t="s">
        <v>77</v>
      </c>
      <c r="B33" s="26"/>
      <c r="C33" s="26"/>
      <c r="D33" s="26"/>
      <c r="E33" s="26"/>
      <c r="F33" s="26"/>
      <c r="G33" s="26"/>
      <c r="H33" s="28" t="s">
        <v>37</v>
      </c>
      <c r="I33" s="28"/>
      <c r="J33" s="28" t="s">
        <v>78</v>
      </c>
      <c r="K33" s="28"/>
      <c r="L33" s="54">
        <f>715000</f>
        <v>715000</v>
      </c>
      <c r="M33" s="54"/>
      <c r="N33" s="54">
        <f>360903.52</f>
        <v>360903.52</v>
      </c>
      <c r="O33" s="54"/>
      <c r="P33" s="54"/>
      <c r="Q33" s="54"/>
      <c r="R33" s="54"/>
      <c r="S33" s="55">
        <f>354096.48</f>
        <v>354096.48</v>
      </c>
      <c r="T33" s="55"/>
      <c r="U33" s="55"/>
    </row>
    <row r="34" spans="1:21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8" t="s">
        <v>37</v>
      </c>
      <c r="I34" s="28"/>
      <c r="J34" s="28" t="s">
        <v>80</v>
      </c>
      <c r="K34" s="28"/>
      <c r="L34" s="54">
        <f>300000</f>
        <v>300000</v>
      </c>
      <c r="M34" s="54"/>
      <c r="N34" s="54">
        <f>119677.4</f>
        <v>119677.4</v>
      </c>
      <c r="O34" s="54"/>
      <c r="P34" s="54"/>
      <c r="Q34" s="54"/>
      <c r="R34" s="54"/>
      <c r="S34" s="55">
        <f>180322.6</f>
        <v>180322.6</v>
      </c>
      <c r="T34" s="55"/>
      <c r="U34" s="55"/>
    </row>
    <row r="35" spans="1:21" s="1" customFormat="1" ht="13.5" customHeight="1">
      <c r="A35" s="26" t="s">
        <v>81</v>
      </c>
      <c r="B35" s="26"/>
      <c r="C35" s="26"/>
      <c r="D35" s="26"/>
      <c r="E35" s="26"/>
      <c r="F35" s="26"/>
      <c r="G35" s="26"/>
      <c r="H35" s="28" t="s">
        <v>37</v>
      </c>
      <c r="I35" s="28"/>
      <c r="J35" s="28" t="s">
        <v>82</v>
      </c>
      <c r="K35" s="28"/>
      <c r="L35" s="54">
        <f>170000</f>
        <v>170000</v>
      </c>
      <c r="M35" s="54"/>
      <c r="N35" s="54">
        <f>55131.28</f>
        <v>55131.28</v>
      </c>
      <c r="O35" s="54"/>
      <c r="P35" s="54"/>
      <c r="Q35" s="54"/>
      <c r="R35" s="54"/>
      <c r="S35" s="55">
        <f>114868.72</f>
        <v>114868.72</v>
      </c>
      <c r="T35" s="55"/>
      <c r="U35" s="55"/>
    </row>
    <row r="36" spans="1:21" s="1" customFormat="1" ht="24" customHeight="1">
      <c r="A36" s="26" t="s">
        <v>83</v>
      </c>
      <c r="B36" s="26"/>
      <c r="C36" s="26"/>
      <c r="D36" s="26"/>
      <c r="E36" s="26"/>
      <c r="F36" s="26"/>
      <c r="G36" s="26"/>
      <c r="H36" s="28" t="s">
        <v>37</v>
      </c>
      <c r="I36" s="28"/>
      <c r="J36" s="28" t="s">
        <v>84</v>
      </c>
      <c r="K36" s="28"/>
      <c r="L36" s="54">
        <f>27669400</f>
        <v>27669400</v>
      </c>
      <c r="M36" s="54"/>
      <c r="N36" s="54">
        <f>13534690</f>
        <v>13534690</v>
      </c>
      <c r="O36" s="54"/>
      <c r="P36" s="54"/>
      <c r="Q36" s="54"/>
      <c r="R36" s="54"/>
      <c r="S36" s="55">
        <f>14134710</f>
        <v>14134710</v>
      </c>
      <c r="T36" s="55"/>
      <c r="U36" s="55"/>
    </row>
    <row r="37" spans="1:21" s="1" customFormat="1" ht="13.5" customHeight="1">
      <c r="A37" s="26" t="s">
        <v>85</v>
      </c>
      <c r="B37" s="26"/>
      <c r="C37" s="26"/>
      <c r="D37" s="26"/>
      <c r="E37" s="26"/>
      <c r="F37" s="26"/>
      <c r="G37" s="26"/>
      <c r="H37" s="28" t="s">
        <v>37</v>
      </c>
      <c r="I37" s="28"/>
      <c r="J37" s="28" t="s">
        <v>86</v>
      </c>
      <c r="K37" s="28"/>
      <c r="L37" s="54">
        <f>50000</f>
        <v>50000</v>
      </c>
      <c r="M37" s="54"/>
      <c r="N37" s="54">
        <f>50000</f>
        <v>50000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6" t="s">
        <v>87</v>
      </c>
      <c r="B38" s="26"/>
      <c r="C38" s="26"/>
      <c r="D38" s="26"/>
      <c r="E38" s="26"/>
      <c r="F38" s="26"/>
      <c r="G38" s="26"/>
      <c r="H38" s="28" t="s">
        <v>37</v>
      </c>
      <c r="I38" s="28"/>
      <c r="J38" s="28" t="s">
        <v>88</v>
      </c>
      <c r="K38" s="28"/>
      <c r="L38" s="54">
        <f>378200</f>
        <v>378200</v>
      </c>
      <c r="M38" s="54"/>
      <c r="N38" s="54">
        <f>206005</f>
        <v>206005</v>
      </c>
      <c r="O38" s="54"/>
      <c r="P38" s="54"/>
      <c r="Q38" s="54"/>
      <c r="R38" s="54"/>
      <c r="S38" s="55">
        <f>172195</f>
        <v>172195</v>
      </c>
      <c r="T38" s="55"/>
      <c r="U38" s="55"/>
    </row>
    <row r="39" spans="1:21" s="1" customFormat="1" ht="24" customHeight="1">
      <c r="A39" s="26" t="s">
        <v>89</v>
      </c>
      <c r="B39" s="26"/>
      <c r="C39" s="26"/>
      <c r="D39" s="26"/>
      <c r="E39" s="26"/>
      <c r="F39" s="26"/>
      <c r="G39" s="26"/>
      <c r="H39" s="28" t="s">
        <v>37</v>
      </c>
      <c r="I39" s="28"/>
      <c r="J39" s="28" t="s">
        <v>90</v>
      </c>
      <c r="K39" s="28"/>
      <c r="L39" s="54">
        <f>120600</f>
        <v>120600</v>
      </c>
      <c r="M39" s="54"/>
      <c r="N39" s="54">
        <f>70350</f>
        <v>70350</v>
      </c>
      <c r="O39" s="54"/>
      <c r="P39" s="54"/>
      <c r="Q39" s="54"/>
      <c r="R39" s="54"/>
      <c r="S39" s="55">
        <f>50250</f>
        <v>50250</v>
      </c>
      <c r="T39" s="55"/>
      <c r="U39" s="55"/>
    </row>
    <row r="40" spans="1:21" s="1" customFormat="1" ht="24" customHeight="1">
      <c r="A40" s="26" t="s">
        <v>91</v>
      </c>
      <c r="B40" s="26"/>
      <c r="C40" s="26"/>
      <c r="D40" s="26"/>
      <c r="E40" s="26"/>
      <c r="F40" s="26"/>
      <c r="G40" s="26"/>
      <c r="H40" s="28" t="s">
        <v>37</v>
      </c>
      <c r="I40" s="28"/>
      <c r="J40" s="28" t="s">
        <v>92</v>
      </c>
      <c r="K40" s="28"/>
      <c r="L40" s="54">
        <f>2441182.16</f>
        <v>2441182.16</v>
      </c>
      <c r="M40" s="54"/>
      <c r="N40" s="54">
        <f>638926.23</f>
        <v>638926.23</v>
      </c>
      <c r="O40" s="54"/>
      <c r="P40" s="54"/>
      <c r="Q40" s="54"/>
      <c r="R40" s="54"/>
      <c r="S40" s="55">
        <f>1802255.93</f>
        <v>1802255.93</v>
      </c>
      <c r="T40" s="55"/>
      <c r="U40" s="55"/>
    </row>
    <row r="41" spans="1:21" s="1" customFormat="1" ht="13.5" customHeight="1">
      <c r="A41" s="26" t="s">
        <v>93</v>
      </c>
      <c r="B41" s="26"/>
      <c r="C41" s="26"/>
      <c r="D41" s="26"/>
      <c r="E41" s="26"/>
      <c r="F41" s="26"/>
      <c r="G41" s="26"/>
      <c r="H41" s="28" t="s">
        <v>37</v>
      </c>
      <c r="I41" s="28"/>
      <c r="J41" s="28" t="s">
        <v>94</v>
      </c>
      <c r="K41" s="28"/>
      <c r="L41" s="54">
        <f>20000</f>
        <v>20000</v>
      </c>
      <c r="M41" s="54"/>
      <c r="N41" s="54">
        <f>20000</f>
        <v>20000</v>
      </c>
      <c r="O41" s="54"/>
      <c r="P41" s="54"/>
      <c r="Q41" s="54"/>
      <c r="R41" s="54"/>
      <c r="S41" s="55">
        <f>0</f>
        <v>0</v>
      </c>
      <c r="T41" s="55"/>
      <c r="U41" s="55"/>
    </row>
    <row r="42" spans="1:21" s="1" customFormat="1" ht="13.5" customHeight="1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1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1" customFormat="1" ht="34.5" customHeight="1">
      <c r="A44" s="42" t="s">
        <v>24</v>
      </c>
      <c r="B44" s="42"/>
      <c r="C44" s="42"/>
      <c r="D44" s="42"/>
      <c r="E44" s="42"/>
      <c r="F44" s="42"/>
      <c r="G44" s="42" t="s">
        <v>25</v>
      </c>
      <c r="H44" s="42"/>
      <c r="I44" s="42" t="s">
        <v>96</v>
      </c>
      <c r="J44" s="42"/>
      <c r="K44" s="43" t="s">
        <v>97</v>
      </c>
      <c r="L44" s="43"/>
      <c r="M44" s="43" t="s">
        <v>27</v>
      </c>
      <c r="N44" s="43"/>
      <c r="O44" s="43" t="s">
        <v>28</v>
      </c>
      <c r="P44" s="43"/>
      <c r="Q44" s="43"/>
      <c r="R44" s="43"/>
      <c r="S44" s="43"/>
      <c r="T44" s="44" t="s">
        <v>29</v>
      </c>
      <c r="U44" s="44"/>
    </row>
    <row r="45" spans="1:21" s="1" customFormat="1" ht="13.5" customHeight="1">
      <c r="A45" s="40" t="s">
        <v>30</v>
      </c>
      <c r="B45" s="40"/>
      <c r="C45" s="40"/>
      <c r="D45" s="40"/>
      <c r="E45" s="40"/>
      <c r="F45" s="40"/>
      <c r="G45" s="40" t="s">
        <v>31</v>
      </c>
      <c r="H45" s="40"/>
      <c r="I45" s="40" t="s">
        <v>32</v>
      </c>
      <c r="J45" s="40"/>
      <c r="K45" s="33" t="s">
        <v>33</v>
      </c>
      <c r="L45" s="33"/>
      <c r="M45" s="33" t="s">
        <v>34</v>
      </c>
      <c r="N45" s="33"/>
      <c r="O45" s="33" t="s">
        <v>35</v>
      </c>
      <c r="P45" s="33"/>
      <c r="Q45" s="33"/>
      <c r="R45" s="33"/>
      <c r="S45" s="33"/>
      <c r="T45" s="34" t="s">
        <v>98</v>
      </c>
      <c r="U45" s="34"/>
    </row>
    <row r="46" spans="1:21" s="1" customFormat="1" ht="13.5" customHeight="1">
      <c r="A46" s="35" t="s">
        <v>99</v>
      </c>
      <c r="B46" s="35"/>
      <c r="C46" s="35"/>
      <c r="D46" s="35"/>
      <c r="E46" s="35"/>
      <c r="F46" s="35"/>
      <c r="G46" s="36" t="s">
        <v>100</v>
      </c>
      <c r="H46" s="36"/>
      <c r="I46" s="36" t="s">
        <v>38</v>
      </c>
      <c r="J46" s="36"/>
      <c r="K46" s="51" t="s">
        <v>38</v>
      </c>
      <c r="L46" s="51"/>
      <c r="M46" s="38">
        <f>47593660.43</f>
        <v>47593660.43</v>
      </c>
      <c r="N46" s="38"/>
      <c r="O46" s="38">
        <f>19229479.32</f>
        <v>19229479.32</v>
      </c>
      <c r="P46" s="38"/>
      <c r="Q46" s="38"/>
      <c r="R46" s="38"/>
      <c r="S46" s="38"/>
      <c r="T46" s="52">
        <f>28364181.11</f>
        <v>28364181.11</v>
      </c>
      <c r="U46" s="52"/>
    </row>
    <row r="47" spans="1:21" s="1" customFormat="1" ht="13.5" customHeight="1">
      <c r="A47" s="14" t="s">
        <v>101</v>
      </c>
      <c r="B47" s="14"/>
      <c r="C47" s="14"/>
      <c r="D47" s="14"/>
      <c r="E47" s="14"/>
      <c r="F47" s="14"/>
      <c r="G47" s="15" t="s">
        <v>100</v>
      </c>
      <c r="H47" s="15"/>
      <c r="I47" s="15" t="s">
        <v>102</v>
      </c>
      <c r="J47" s="15"/>
      <c r="K47" s="21" t="s">
        <v>103</v>
      </c>
      <c r="L47" s="21"/>
      <c r="M47" s="12">
        <f>1419400</f>
        <v>1419400</v>
      </c>
      <c r="N47" s="12"/>
      <c r="O47" s="12">
        <f>845284.94</f>
        <v>845284.94</v>
      </c>
      <c r="P47" s="12"/>
      <c r="Q47" s="12"/>
      <c r="R47" s="12"/>
      <c r="S47" s="12"/>
      <c r="T47" s="50">
        <f>574115.06</f>
        <v>574115.06</v>
      </c>
      <c r="U47" s="50"/>
    </row>
    <row r="48" spans="1:21" s="1" customFormat="1" ht="13.5" customHeight="1">
      <c r="A48" s="14" t="s">
        <v>104</v>
      </c>
      <c r="B48" s="14"/>
      <c r="C48" s="14"/>
      <c r="D48" s="14"/>
      <c r="E48" s="14"/>
      <c r="F48" s="14"/>
      <c r="G48" s="15" t="s">
        <v>100</v>
      </c>
      <c r="H48" s="15"/>
      <c r="I48" s="15" t="s">
        <v>105</v>
      </c>
      <c r="J48" s="15"/>
      <c r="K48" s="21" t="s">
        <v>106</v>
      </c>
      <c r="L48" s="21"/>
      <c r="M48" s="12">
        <f>428700</f>
        <v>428700</v>
      </c>
      <c r="N48" s="12"/>
      <c r="O48" s="12">
        <f>225736.51</f>
        <v>225736.51</v>
      </c>
      <c r="P48" s="12"/>
      <c r="Q48" s="12"/>
      <c r="R48" s="12"/>
      <c r="S48" s="12"/>
      <c r="T48" s="50">
        <f>202963.49</f>
        <v>202963.49</v>
      </c>
      <c r="U48" s="50"/>
    </row>
    <row r="49" spans="1:21" s="1" customFormat="1" ht="13.5" customHeight="1">
      <c r="A49" s="14" t="s">
        <v>101</v>
      </c>
      <c r="B49" s="14"/>
      <c r="C49" s="14"/>
      <c r="D49" s="14"/>
      <c r="E49" s="14"/>
      <c r="F49" s="14"/>
      <c r="G49" s="15" t="s">
        <v>100</v>
      </c>
      <c r="H49" s="15"/>
      <c r="I49" s="15" t="s">
        <v>107</v>
      </c>
      <c r="J49" s="15"/>
      <c r="K49" s="21" t="s">
        <v>103</v>
      </c>
      <c r="L49" s="21"/>
      <c r="M49" s="12">
        <f>8451000</f>
        <v>8451000</v>
      </c>
      <c r="N49" s="12"/>
      <c r="O49" s="12">
        <f>4623219.79</f>
        <v>4623219.79</v>
      </c>
      <c r="P49" s="12"/>
      <c r="Q49" s="12"/>
      <c r="R49" s="12"/>
      <c r="S49" s="12"/>
      <c r="T49" s="50">
        <f>3827780.21</f>
        <v>3827780.21</v>
      </c>
      <c r="U49" s="50"/>
    </row>
    <row r="50" spans="1:21" s="1" customFormat="1" ht="13.5" customHeight="1">
      <c r="A50" s="14" t="s">
        <v>108</v>
      </c>
      <c r="B50" s="14"/>
      <c r="C50" s="14"/>
      <c r="D50" s="14"/>
      <c r="E50" s="14"/>
      <c r="F50" s="14"/>
      <c r="G50" s="15" t="s">
        <v>100</v>
      </c>
      <c r="H50" s="15"/>
      <c r="I50" s="15" t="s">
        <v>109</v>
      </c>
      <c r="J50" s="15"/>
      <c r="K50" s="21" t="s">
        <v>110</v>
      </c>
      <c r="L50" s="21"/>
      <c r="M50" s="12">
        <f>304000</f>
        <v>304000</v>
      </c>
      <c r="N50" s="12"/>
      <c r="O50" s="12">
        <f>37933</f>
        <v>37933</v>
      </c>
      <c r="P50" s="12"/>
      <c r="Q50" s="12"/>
      <c r="R50" s="12"/>
      <c r="S50" s="12"/>
      <c r="T50" s="50">
        <f>266067</f>
        <v>266067</v>
      </c>
      <c r="U50" s="50"/>
    </row>
    <row r="51" spans="1:21" s="1" customFormat="1" ht="13.5" customHeight="1">
      <c r="A51" s="14" t="s">
        <v>104</v>
      </c>
      <c r="B51" s="14"/>
      <c r="C51" s="14"/>
      <c r="D51" s="14"/>
      <c r="E51" s="14"/>
      <c r="F51" s="14"/>
      <c r="G51" s="15" t="s">
        <v>100</v>
      </c>
      <c r="H51" s="15"/>
      <c r="I51" s="15" t="s">
        <v>111</v>
      </c>
      <c r="J51" s="15"/>
      <c r="K51" s="21" t="s">
        <v>106</v>
      </c>
      <c r="L51" s="21"/>
      <c r="M51" s="12">
        <f>2550000</f>
        <v>2550000</v>
      </c>
      <c r="N51" s="12"/>
      <c r="O51" s="12">
        <f>1627814.33</f>
        <v>1627814.33</v>
      </c>
      <c r="P51" s="12"/>
      <c r="Q51" s="12"/>
      <c r="R51" s="12"/>
      <c r="S51" s="12"/>
      <c r="T51" s="50">
        <f>922185.67</f>
        <v>922185.67</v>
      </c>
      <c r="U51" s="50"/>
    </row>
    <row r="52" spans="1:21" s="1" customFormat="1" ht="13.5" customHeight="1">
      <c r="A52" s="14" t="s">
        <v>112</v>
      </c>
      <c r="B52" s="14"/>
      <c r="C52" s="14"/>
      <c r="D52" s="14"/>
      <c r="E52" s="14"/>
      <c r="F52" s="14"/>
      <c r="G52" s="15" t="s">
        <v>100</v>
      </c>
      <c r="H52" s="15"/>
      <c r="I52" s="15" t="s">
        <v>113</v>
      </c>
      <c r="J52" s="15"/>
      <c r="K52" s="21" t="s">
        <v>114</v>
      </c>
      <c r="L52" s="21"/>
      <c r="M52" s="12">
        <f>156299</f>
        <v>156299</v>
      </c>
      <c r="N52" s="12"/>
      <c r="O52" s="12">
        <f>67244.5</f>
        <v>67244.5</v>
      </c>
      <c r="P52" s="12"/>
      <c r="Q52" s="12"/>
      <c r="R52" s="12"/>
      <c r="S52" s="12"/>
      <c r="T52" s="50">
        <f>89054.5</f>
        <v>89054.5</v>
      </c>
      <c r="U52" s="50"/>
    </row>
    <row r="53" spans="1:21" s="1" customFormat="1" ht="13.5" customHeight="1">
      <c r="A53" s="14" t="s">
        <v>115</v>
      </c>
      <c r="B53" s="14"/>
      <c r="C53" s="14"/>
      <c r="D53" s="14"/>
      <c r="E53" s="14"/>
      <c r="F53" s="14"/>
      <c r="G53" s="15" t="s">
        <v>100</v>
      </c>
      <c r="H53" s="15"/>
      <c r="I53" s="15" t="s">
        <v>116</v>
      </c>
      <c r="J53" s="15"/>
      <c r="K53" s="21" t="s">
        <v>117</v>
      </c>
      <c r="L53" s="21"/>
      <c r="M53" s="12">
        <f>250000</f>
        <v>250000</v>
      </c>
      <c r="N53" s="12"/>
      <c r="O53" s="17" t="s">
        <v>118</v>
      </c>
      <c r="P53" s="17"/>
      <c r="Q53" s="17"/>
      <c r="R53" s="17"/>
      <c r="S53" s="17"/>
      <c r="T53" s="50">
        <f>250000</f>
        <v>250000</v>
      </c>
      <c r="U53" s="50"/>
    </row>
    <row r="54" spans="1:21" s="1" customFormat="1" ht="13.5" customHeight="1">
      <c r="A54" s="14" t="s">
        <v>119</v>
      </c>
      <c r="B54" s="14"/>
      <c r="C54" s="14"/>
      <c r="D54" s="14"/>
      <c r="E54" s="14"/>
      <c r="F54" s="14"/>
      <c r="G54" s="15" t="s">
        <v>100</v>
      </c>
      <c r="H54" s="15"/>
      <c r="I54" s="15" t="s">
        <v>120</v>
      </c>
      <c r="J54" s="15"/>
      <c r="K54" s="21" t="s">
        <v>121</v>
      </c>
      <c r="L54" s="21"/>
      <c r="M54" s="12">
        <f>50000</f>
        <v>50000</v>
      </c>
      <c r="N54" s="12"/>
      <c r="O54" s="17" t="s">
        <v>118</v>
      </c>
      <c r="P54" s="17"/>
      <c r="Q54" s="17"/>
      <c r="R54" s="17"/>
      <c r="S54" s="17"/>
      <c r="T54" s="50">
        <f>50000</f>
        <v>50000</v>
      </c>
      <c r="U54" s="50"/>
    </row>
    <row r="55" spans="1:21" s="1" customFormat="1" ht="13.5" customHeight="1">
      <c r="A55" s="14" t="s">
        <v>122</v>
      </c>
      <c r="B55" s="14"/>
      <c r="C55" s="14"/>
      <c r="D55" s="14"/>
      <c r="E55" s="14"/>
      <c r="F55" s="14"/>
      <c r="G55" s="15" t="s">
        <v>100</v>
      </c>
      <c r="H55" s="15"/>
      <c r="I55" s="15" t="s">
        <v>123</v>
      </c>
      <c r="J55" s="15"/>
      <c r="K55" s="21" t="s">
        <v>124</v>
      </c>
      <c r="L55" s="21"/>
      <c r="M55" s="12">
        <f>25000</f>
        <v>25000</v>
      </c>
      <c r="N55" s="12"/>
      <c r="O55" s="12">
        <f>6572.06</f>
        <v>6572.06</v>
      </c>
      <c r="P55" s="12"/>
      <c r="Q55" s="12"/>
      <c r="R55" s="12"/>
      <c r="S55" s="12"/>
      <c r="T55" s="50">
        <f>18427.94</f>
        <v>18427.94</v>
      </c>
      <c r="U55" s="50"/>
    </row>
    <row r="56" spans="1:21" s="1" customFormat="1" ht="13.5" customHeight="1">
      <c r="A56" s="14" t="s">
        <v>125</v>
      </c>
      <c r="B56" s="14"/>
      <c r="C56" s="14"/>
      <c r="D56" s="14"/>
      <c r="E56" s="14"/>
      <c r="F56" s="14"/>
      <c r="G56" s="15" t="s">
        <v>100</v>
      </c>
      <c r="H56" s="15"/>
      <c r="I56" s="15" t="s">
        <v>123</v>
      </c>
      <c r="J56" s="15"/>
      <c r="K56" s="21" t="s">
        <v>126</v>
      </c>
      <c r="L56" s="21"/>
      <c r="M56" s="12">
        <f>1613381.26</f>
        <v>1613381.26</v>
      </c>
      <c r="N56" s="12"/>
      <c r="O56" s="12">
        <f>960128.39</f>
        <v>960128.39</v>
      </c>
      <c r="P56" s="12"/>
      <c r="Q56" s="12"/>
      <c r="R56" s="12"/>
      <c r="S56" s="12"/>
      <c r="T56" s="50">
        <f>653252.87</f>
        <v>653252.87</v>
      </c>
      <c r="U56" s="50"/>
    </row>
    <row r="57" spans="1:21" s="1" customFormat="1" ht="13.5" customHeight="1">
      <c r="A57" s="14" t="s">
        <v>127</v>
      </c>
      <c r="B57" s="14"/>
      <c r="C57" s="14"/>
      <c r="D57" s="14"/>
      <c r="E57" s="14"/>
      <c r="F57" s="14"/>
      <c r="G57" s="15" t="s">
        <v>100</v>
      </c>
      <c r="H57" s="15"/>
      <c r="I57" s="15" t="s">
        <v>123</v>
      </c>
      <c r="J57" s="15"/>
      <c r="K57" s="21" t="s">
        <v>128</v>
      </c>
      <c r="L57" s="21"/>
      <c r="M57" s="12">
        <f>120000</f>
        <v>120000</v>
      </c>
      <c r="N57" s="12"/>
      <c r="O57" s="12">
        <f>7337.55</f>
        <v>7337.55</v>
      </c>
      <c r="P57" s="12"/>
      <c r="Q57" s="12"/>
      <c r="R57" s="12"/>
      <c r="S57" s="12"/>
      <c r="T57" s="50">
        <f>112662.45</f>
        <v>112662.45</v>
      </c>
      <c r="U57" s="50"/>
    </row>
    <row r="58" spans="1:21" s="1" customFormat="1" ht="13.5" customHeight="1">
      <c r="A58" s="14" t="s">
        <v>119</v>
      </c>
      <c r="B58" s="14"/>
      <c r="C58" s="14"/>
      <c r="D58" s="14"/>
      <c r="E58" s="14"/>
      <c r="F58" s="14"/>
      <c r="G58" s="15" t="s">
        <v>100</v>
      </c>
      <c r="H58" s="15"/>
      <c r="I58" s="15" t="s">
        <v>123</v>
      </c>
      <c r="J58" s="15"/>
      <c r="K58" s="21" t="s">
        <v>121</v>
      </c>
      <c r="L58" s="21"/>
      <c r="M58" s="12">
        <f>65000</f>
        <v>65000</v>
      </c>
      <c r="N58" s="12"/>
      <c r="O58" s="12">
        <f>20030</f>
        <v>20030</v>
      </c>
      <c r="P58" s="12"/>
      <c r="Q58" s="12"/>
      <c r="R58" s="12"/>
      <c r="S58" s="12"/>
      <c r="T58" s="50">
        <f>44970</f>
        <v>44970</v>
      </c>
      <c r="U58" s="50"/>
    </row>
    <row r="59" spans="1:21" s="1" customFormat="1" ht="13.5" customHeight="1">
      <c r="A59" s="14" t="s">
        <v>129</v>
      </c>
      <c r="B59" s="14"/>
      <c r="C59" s="14"/>
      <c r="D59" s="14"/>
      <c r="E59" s="14"/>
      <c r="F59" s="14"/>
      <c r="G59" s="15" t="s">
        <v>100</v>
      </c>
      <c r="H59" s="15"/>
      <c r="I59" s="15" t="s">
        <v>123</v>
      </c>
      <c r="J59" s="15"/>
      <c r="K59" s="21" t="s">
        <v>130</v>
      </c>
      <c r="L59" s="21"/>
      <c r="M59" s="12">
        <f>100000</f>
        <v>100000</v>
      </c>
      <c r="N59" s="12"/>
      <c r="O59" s="17" t="s">
        <v>118</v>
      </c>
      <c r="P59" s="17"/>
      <c r="Q59" s="17"/>
      <c r="R59" s="17"/>
      <c r="S59" s="17"/>
      <c r="T59" s="50">
        <f>100000</f>
        <v>100000</v>
      </c>
      <c r="U59" s="50"/>
    </row>
    <row r="60" spans="1:21" s="1" customFormat="1" ht="13.5" customHeight="1">
      <c r="A60" s="14" t="s">
        <v>131</v>
      </c>
      <c r="B60" s="14"/>
      <c r="C60" s="14"/>
      <c r="D60" s="14"/>
      <c r="E60" s="14"/>
      <c r="F60" s="14"/>
      <c r="G60" s="15" t="s">
        <v>100</v>
      </c>
      <c r="H60" s="15"/>
      <c r="I60" s="15" t="s">
        <v>123</v>
      </c>
      <c r="J60" s="15"/>
      <c r="K60" s="21" t="s">
        <v>132</v>
      </c>
      <c r="L60" s="21"/>
      <c r="M60" s="12">
        <f>100000</f>
        <v>100000</v>
      </c>
      <c r="N60" s="12"/>
      <c r="O60" s="17" t="s">
        <v>118</v>
      </c>
      <c r="P60" s="17"/>
      <c r="Q60" s="17"/>
      <c r="R60" s="17"/>
      <c r="S60" s="17"/>
      <c r="T60" s="50">
        <f>100000</f>
        <v>100000</v>
      </c>
      <c r="U60" s="50"/>
    </row>
    <row r="61" spans="1:21" s="1" customFormat="1" ht="13.5" customHeight="1">
      <c r="A61" s="14" t="s">
        <v>115</v>
      </c>
      <c r="B61" s="14"/>
      <c r="C61" s="14"/>
      <c r="D61" s="14"/>
      <c r="E61" s="14"/>
      <c r="F61" s="14"/>
      <c r="G61" s="15" t="s">
        <v>100</v>
      </c>
      <c r="H61" s="15"/>
      <c r="I61" s="15" t="s">
        <v>133</v>
      </c>
      <c r="J61" s="15"/>
      <c r="K61" s="21" t="s">
        <v>117</v>
      </c>
      <c r="L61" s="21"/>
      <c r="M61" s="12">
        <f>5000</f>
        <v>5000</v>
      </c>
      <c r="N61" s="12"/>
      <c r="O61" s="17" t="s">
        <v>118</v>
      </c>
      <c r="P61" s="17"/>
      <c r="Q61" s="17"/>
      <c r="R61" s="17"/>
      <c r="S61" s="17"/>
      <c r="T61" s="50">
        <f>5000</f>
        <v>5000</v>
      </c>
      <c r="U61" s="50"/>
    </row>
    <row r="62" spans="1:21" s="1" customFormat="1" ht="13.5" customHeight="1">
      <c r="A62" s="14" t="s">
        <v>115</v>
      </c>
      <c r="B62" s="14"/>
      <c r="C62" s="14"/>
      <c r="D62" s="14"/>
      <c r="E62" s="14"/>
      <c r="F62" s="14"/>
      <c r="G62" s="15" t="s">
        <v>100</v>
      </c>
      <c r="H62" s="15"/>
      <c r="I62" s="15" t="s">
        <v>134</v>
      </c>
      <c r="J62" s="15"/>
      <c r="K62" s="21" t="s">
        <v>117</v>
      </c>
      <c r="L62" s="21"/>
      <c r="M62" s="12">
        <f>65000</f>
        <v>65000</v>
      </c>
      <c r="N62" s="12"/>
      <c r="O62" s="12">
        <f>33868</f>
        <v>33868</v>
      </c>
      <c r="P62" s="12"/>
      <c r="Q62" s="12"/>
      <c r="R62" s="12"/>
      <c r="S62" s="12"/>
      <c r="T62" s="50">
        <f>31132</f>
        <v>31132</v>
      </c>
      <c r="U62" s="50"/>
    </row>
    <row r="63" spans="1:21" s="1" customFormat="1" ht="13.5" customHeight="1">
      <c r="A63" s="14" t="s">
        <v>115</v>
      </c>
      <c r="B63" s="14"/>
      <c r="C63" s="14"/>
      <c r="D63" s="14"/>
      <c r="E63" s="14"/>
      <c r="F63" s="14"/>
      <c r="G63" s="15" t="s">
        <v>100</v>
      </c>
      <c r="H63" s="15"/>
      <c r="I63" s="15" t="s">
        <v>135</v>
      </c>
      <c r="J63" s="15"/>
      <c r="K63" s="21" t="s">
        <v>117</v>
      </c>
      <c r="L63" s="21"/>
      <c r="M63" s="12">
        <f>20000</f>
        <v>20000</v>
      </c>
      <c r="N63" s="12"/>
      <c r="O63" s="17" t="s">
        <v>118</v>
      </c>
      <c r="P63" s="17"/>
      <c r="Q63" s="17"/>
      <c r="R63" s="17"/>
      <c r="S63" s="17"/>
      <c r="T63" s="50">
        <f>20000</f>
        <v>20000</v>
      </c>
      <c r="U63" s="50"/>
    </row>
    <row r="64" spans="1:21" s="1" customFormat="1" ht="13.5" customHeight="1">
      <c r="A64" s="14" t="s">
        <v>108</v>
      </c>
      <c r="B64" s="14"/>
      <c r="C64" s="14"/>
      <c r="D64" s="14"/>
      <c r="E64" s="14"/>
      <c r="F64" s="14"/>
      <c r="G64" s="15" t="s">
        <v>100</v>
      </c>
      <c r="H64" s="15"/>
      <c r="I64" s="15" t="s">
        <v>136</v>
      </c>
      <c r="J64" s="15"/>
      <c r="K64" s="21" t="s">
        <v>110</v>
      </c>
      <c r="L64" s="21"/>
      <c r="M64" s="12">
        <f>300000</f>
        <v>300000</v>
      </c>
      <c r="N64" s="12"/>
      <c r="O64" s="12">
        <f>11280</f>
        <v>11280</v>
      </c>
      <c r="P64" s="12"/>
      <c r="Q64" s="12"/>
      <c r="R64" s="12"/>
      <c r="S64" s="12"/>
      <c r="T64" s="50">
        <f>288720</f>
        <v>288720</v>
      </c>
      <c r="U64" s="50"/>
    </row>
    <row r="65" spans="1:21" s="1" customFormat="1" ht="13.5" customHeight="1">
      <c r="A65" s="14" t="s">
        <v>115</v>
      </c>
      <c r="B65" s="14"/>
      <c r="C65" s="14"/>
      <c r="D65" s="14"/>
      <c r="E65" s="14"/>
      <c r="F65" s="14"/>
      <c r="G65" s="15" t="s">
        <v>100</v>
      </c>
      <c r="H65" s="15"/>
      <c r="I65" s="15" t="s">
        <v>137</v>
      </c>
      <c r="J65" s="15"/>
      <c r="K65" s="21" t="s">
        <v>117</v>
      </c>
      <c r="L65" s="21"/>
      <c r="M65" s="12">
        <f>25000</f>
        <v>25000</v>
      </c>
      <c r="N65" s="12"/>
      <c r="O65" s="12">
        <f>25000</f>
        <v>25000</v>
      </c>
      <c r="P65" s="12"/>
      <c r="Q65" s="12"/>
      <c r="R65" s="12"/>
      <c r="S65" s="12"/>
      <c r="T65" s="50">
        <f>0</f>
        <v>0</v>
      </c>
      <c r="U65" s="50"/>
    </row>
    <row r="66" spans="1:21" s="1" customFormat="1" ht="13.5" customHeight="1">
      <c r="A66" s="14" t="s">
        <v>101</v>
      </c>
      <c r="B66" s="14"/>
      <c r="C66" s="14"/>
      <c r="D66" s="14"/>
      <c r="E66" s="14"/>
      <c r="F66" s="14"/>
      <c r="G66" s="15" t="s">
        <v>100</v>
      </c>
      <c r="H66" s="15"/>
      <c r="I66" s="15" t="s">
        <v>138</v>
      </c>
      <c r="J66" s="15"/>
      <c r="K66" s="21" t="s">
        <v>103</v>
      </c>
      <c r="L66" s="21"/>
      <c r="M66" s="12">
        <f>4226000</f>
        <v>4226000</v>
      </c>
      <c r="N66" s="12"/>
      <c r="O66" s="12">
        <f>1663762.72</f>
        <v>1663762.72</v>
      </c>
      <c r="P66" s="12"/>
      <c r="Q66" s="12"/>
      <c r="R66" s="12"/>
      <c r="S66" s="12"/>
      <c r="T66" s="50">
        <f>2562237.28</f>
        <v>2562237.28</v>
      </c>
      <c r="U66" s="50"/>
    </row>
    <row r="67" spans="1:21" s="1" customFormat="1" ht="13.5" customHeight="1">
      <c r="A67" s="14" t="s">
        <v>108</v>
      </c>
      <c r="B67" s="14"/>
      <c r="C67" s="14"/>
      <c r="D67" s="14"/>
      <c r="E67" s="14"/>
      <c r="F67" s="14"/>
      <c r="G67" s="15" t="s">
        <v>100</v>
      </c>
      <c r="H67" s="15"/>
      <c r="I67" s="15" t="s">
        <v>139</v>
      </c>
      <c r="J67" s="15"/>
      <c r="K67" s="21" t="s">
        <v>110</v>
      </c>
      <c r="L67" s="21"/>
      <c r="M67" s="12">
        <f>108200</f>
        <v>108200</v>
      </c>
      <c r="N67" s="12"/>
      <c r="O67" s="12">
        <f>6426.7</f>
        <v>6426.7</v>
      </c>
      <c r="P67" s="12"/>
      <c r="Q67" s="12"/>
      <c r="R67" s="12"/>
      <c r="S67" s="12"/>
      <c r="T67" s="50">
        <f>101773.3</f>
        <v>101773.3</v>
      </c>
      <c r="U67" s="50"/>
    </row>
    <row r="68" spans="1:21" s="1" customFormat="1" ht="13.5" customHeight="1">
      <c r="A68" s="14" t="s">
        <v>104</v>
      </c>
      <c r="B68" s="14"/>
      <c r="C68" s="14"/>
      <c r="D68" s="14"/>
      <c r="E68" s="14"/>
      <c r="F68" s="14"/>
      <c r="G68" s="15" t="s">
        <v>100</v>
      </c>
      <c r="H68" s="15"/>
      <c r="I68" s="15" t="s">
        <v>140</v>
      </c>
      <c r="J68" s="15"/>
      <c r="K68" s="21" t="s">
        <v>106</v>
      </c>
      <c r="L68" s="21"/>
      <c r="M68" s="12">
        <f>1288900</f>
        <v>1288900</v>
      </c>
      <c r="N68" s="12"/>
      <c r="O68" s="12">
        <f>455259.95</f>
        <v>455259.95</v>
      </c>
      <c r="P68" s="12"/>
      <c r="Q68" s="12"/>
      <c r="R68" s="12"/>
      <c r="S68" s="12"/>
      <c r="T68" s="50">
        <f>833640.05</f>
        <v>833640.05</v>
      </c>
      <c r="U68" s="50"/>
    </row>
    <row r="69" spans="1:21" s="1" customFormat="1" ht="13.5" customHeight="1">
      <c r="A69" s="14" t="s">
        <v>122</v>
      </c>
      <c r="B69" s="14"/>
      <c r="C69" s="14"/>
      <c r="D69" s="14"/>
      <c r="E69" s="14"/>
      <c r="F69" s="14"/>
      <c r="G69" s="15" t="s">
        <v>100</v>
      </c>
      <c r="H69" s="15"/>
      <c r="I69" s="15" t="s">
        <v>141</v>
      </c>
      <c r="J69" s="15"/>
      <c r="K69" s="21" t="s">
        <v>124</v>
      </c>
      <c r="L69" s="21"/>
      <c r="M69" s="12">
        <f>12891.08</f>
        <v>12891.08</v>
      </c>
      <c r="N69" s="12"/>
      <c r="O69" s="12">
        <f>6398.8</f>
        <v>6398.8</v>
      </c>
      <c r="P69" s="12"/>
      <c r="Q69" s="12"/>
      <c r="R69" s="12"/>
      <c r="S69" s="12"/>
      <c r="T69" s="50">
        <f>6492.28</f>
        <v>6492.28</v>
      </c>
      <c r="U69" s="50"/>
    </row>
    <row r="70" spans="1:21" s="1" customFormat="1" ht="13.5" customHeight="1">
      <c r="A70" s="14" t="s">
        <v>122</v>
      </c>
      <c r="B70" s="14"/>
      <c r="C70" s="14"/>
      <c r="D70" s="14"/>
      <c r="E70" s="14"/>
      <c r="F70" s="14"/>
      <c r="G70" s="15" t="s">
        <v>100</v>
      </c>
      <c r="H70" s="15"/>
      <c r="I70" s="15" t="s">
        <v>142</v>
      </c>
      <c r="J70" s="15"/>
      <c r="K70" s="21" t="s">
        <v>124</v>
      </c>
      <c r="L70" s="21"/>
      <c r="M70" s="12">
        <f>1084</f>
        <v>1084</v>
      </c>
      <c r="N70" s="12"/>
      <c r="O70" s="17" t="s">
        <v>118</v>
      </c>
      <c r="P70" s="17"/>
      <c r="Q70" s="17"/>
      <c r="R70" s="17"/>
      <c r="S70" s="17"/>
      <c r="T70" s="50">
        <f>1084</f>
        <v>1084</v>
      </c>
      <c r="U70" s="50"/>
    </row>
    <row r="71" spans="1:21" s="1" customFormat="1" ht="13.5" customHeight="1">
      <c r="A71" s="14" t="s">
        <v>127</v>
      </c>
      <c r="B71" s="14"/>
      <c r="C71" s="14"/>
      <c r="D71" s="14"/>
      <c r="E71" s="14"/>
      <c r="F71" s="14"/>
      <c r="G71" s="15" t="s">
        <v>100</v>
      </c>
      <c r="H71" s="15"/>
      <c r="I71" s="15" t="s">
        <v>142</v>
      </c>
      <c r="J71" s="15"/>
      <c r="K71" s="21" t="s">
        <v>128</v>
      </c>
      <c r="L71" s="21"/>
      <c r="M71" s="12">
        <f>8000</f>
        <v>8000</v>
      </c>
      <c r="N71" s="12"/>
      <c r="O71" s="17" t="s">
        <v>118</v>
      </c>
      <c r="P71" s="17"/>
      <c r="Q71" s="17"/>
      <c r="R71" s="17"/>
      <c r="S71" s="17"/>
      <c r="T71" s="50">
        <f>8000</f>
        <v>8000</v>
      </c>
      <c r="U71" s="50"/>
    </row>
    <row r="72" spans="1:21" s="1" customFormat="1" ht="13.5" customHeight="1">
      <c r="A72" s="14" t="s">
        <v>119</v>
      </c>
      <c r="B72" s="14"/>
      <c r="C72" s="14"/>
      <c r="D72" s="14"/>
      <c r="E72" s="14"/>
      <c r="F72" s="14"/>
      <c r="G72" s="15" t="s">
        <v>100</v>
      </c>
      <c r="H72" s="15"/>
      <c r="I72" s="15" t="s">
        <v>142</v>
      </c>
      <c r="J72" s="15"/>
      <c r="K72" s="21" t="s">
        <v>121</v>
      </c>
      <c r="L72" s="21"/>
      <c r="M72" s="12">
        <f>94900</f>
        <v>94900</v>
      </c>
      <c r="N72" s="12"/>
      <c r="O72" s="12">
        <f>10605</f>
        <v>10605</v>
      </c>
      <c r="P72" s="12"/>
      <c r="Q72" s="12"/>
      <c r="R72" s="12"/>
      <c r="S72" s="12"/>
      <c r="T72" s="50">
        <f>84295</f>
        <v>84295</v>
      </c>
      <c r="U72" s="50"/>
    </row>
    <row r="73" spans="1:21" s="1" customFormat="1" ht="13.5" customHeight="1">
      <c r="A73" s="14" t="s">
        <v>129</v>
      </c>
      <c r="B73" s="14"/>
      <c r="C73" s="14"/>
      <c r="D73" s="14"/>
      <c r="E73" s="14"/>
      <c r="F73" s="14"/>
      <c r="G73" s="15" t="s">
        <v>100</v>
      </c>
      <c r="H73" s="15"/>
      <c r="I73" s="15" t="s">
        <v>142</v>
      </c>
      <c r="J73" s="15"/>
      <c r="K73" s="21" t="s">
        <v>130</v>
      </c>
      <c r="L73" s="21"/>
      <c r="M73" s="12">
        <f>76500</f>
        <v>76500</v>
      </c>
      <c r="N73" s="12"/>
      <c r="O73" s="12">
        <f>6000</f>
        <v>6000</v>
      </c>
      <c r="P73" s="12"/>
      <c r="Q73" s="12"/>
      <c r="R73" s="12"/>
      <c r="S73" s="12"/>
      <c r="T73" s="50">
        <f>70500</f>
        <v>70500</v>
      </c>
      <c r="U73" s="50"/>
    </row>
    <row r="74" spans="1:21" s="1" customFormat="1" ht="13.5" customHeight="1">
      <c r="A74" s="14" t="s">
        <v>131</v>
      </c>
      <c r="B74" s="14"/>
      <c r="C74" s="14"/>
      <c r="D74" s="14"/>
      <c r="E74" s="14"/>
      <c r="F74" s="14"/>
      <c r="G74" s="15" t="s">
        <v>100</v>
      </c>
      <c r="H74" s="15"/>
      <c r="I74" s="15" t="s">
        <v>142</v>
      </c>
      <c r="J74" s="15"/>
      <c r="K74" s="21" t="s">
        <v>132</v>
      </c>
      <c r="L74" s="21"/>
      <c r="M74" s="12">
        <f>624700</f>
        <v>624700</v>
      </c>
      <c r="N74" s="12"/>
      <c r="O74" s="12">
        <f>186816.26</f>
        <v>186816.26</v>
      </c>
      <c r="P74" s="12"/>
      <c r="Q74" s="12"/>
      <c r="R74" s="12"/>
      <c r="S74" s="12"/>
      <c r="T74" s="50">
        <f>437883.74</f>
        <v>437883.74</v>
      </c>
      <c r="U74" s="50"/>
    </row>
    <row r="75" spans="1:21" s="1" customFormat="1" ht="13.5" customHeight="1">
      <c r="A75" s="14" t="s">
        <v>115</v>
      </c>
      <c r="B75" s="14"/>
      <c r="C75" s="14"/>
      <c r="D75" s="14"/>
      <c r="E75" s="14"/>
      <c r="F75" s="14"/>
      <c r="G75" s="15" t="s">
        <v>100</v>
      </c>
      <c r="H75" s="15"/>
      <c r="I75" s="15" t="s">
        <v>143</v>
      </c>
      <c r="J75" s="15"/>
      <c r="K75" s="21" t="s">
        <v>117</v>
      </c>
      <c r="L75" s="21"/>
      <c r="M75" s="12">
        <f>3000</f>
        <v>3000</v>
      </c>
      <c r="N75" s="12"/>
      <c r="O75" s="12">
        <f>868</f>
        <v>868</v>
      </c>
      <c r="P75" s="12"/>
      <c r="Q75" s="12"/>
      <c r="R75" s="12"/>
      <c r="S75" s="12"/>
      <c r="T75" s="50">
        <f>2132</f>
        <v>2132</v>
      </c>
      <c r="U75" s="50"/>
    </row>
    <row r="76" spans="1:21" s="1" customFormat="1" ht="13.5" customHeight="1">
      <c r="A76" s="14" t="s">
        <v>115</v>
      </c>
      <c r="B76" s="14"/>
      <c r="C76" s="14"/>
      <c r="D76" s="14"/>
      <c r="E76" s="14"/>
      <c r="F76" s="14"/>
      <c r="G76" s="15" t="s">
        <v>100</v>
      </c>
      <c r="H76" s="15"/>
      <c r="I76" s="15" t="s">
        <v>144</v>
      </c>
      <c r="J76" s="15"/>
      <c r="K76" s="21" t="s">
        <v>117</v>
      </c>
      <c r="L76" s="21"/>
      <c r="M76" s="12">
        <f>13500</f>
        <v>13500</v>
      </c>
      <c r="N76" s="12"/>
      <c r="O76" s="17" t="s">
        <v>118</v>
      </c>
      <c r="P76" s="17"/>
      <c r="Q76" s="17"/>
      <c r="R76" s="17"/>
      <c r="S76" s="17"/>
      <c r="T76" s="50">
        <f>13500</f>
        <v>13500</v>
      </c>
      <c r="U76" s="50"/>
    </row>
    <row r="77" spans="1:21" s="1" customFormat="1" ht="13.5" customHeight="1">
      <c r="A77" s="14" t="s">
        <v>112</v>
      </c>
      <c r="B77" s="14"/>
      <c r="C77" s="14"/>
      <c r="D77" s="14"/>
      <c r="E77" s="14"/>
      <c r="F77" s="14"/>
      <c r="G77" s="15" t="s">
        <v>100</v>
      </c>
      <c r="H77" s="15"/>
      <c r="I77" s="15" t="s">
        <v>145</v>
      </c>
      <c r="J77" s="15"/>
      <c r="K77" s="21" t="s">
        <v>114</v>
      </c>
      <c r="L77" s="21"/>
      <c r="M77" s="12">
        <f>7270</f>
        <v>7270</v>
      </c>
      <c r="N77" s="12"/>
      <c r="O77" s="17" t="s">
        <v>118</v>
      </c>
      <c r="P77" s="17"/>
      <c r="Q77" s="17"/>
      <c r="R77" s="17"/>
      <c r="S77" s="17"/>
      <c r="T77" s="50">
        <f>7270</f>
        <v>7270</v>
      </c>
      <c r="U77" s="50"/>
    </row>
    <row r="78" spans="1:21" s="1" customFormat="1" ht="13.5" customHeight="1">
      <c r="A78" s="14" t="s">
        <v>112</v>
      </c>
      <c r="B78" s="14"/>
      <c r="C78" s="14"/>
      <c r="D78" s="14"/>
      <c r="E78" s="14"/>
      <c r="F78" s="14"/>
      <c r="G78" s="15" t="s">
        <v>100</v>
      </c>
      <c r="H78" s="15"/>
      <c r="I78" s="15" t="s">
        <v>146</v>
      </c>
      <c r="J78" s="15"/>
      <c r="K78" s="21" t="s">
        <v>114</v>
      </c>
      <c r="L78" s="21"/>
      <c r="M78" s="12">
        <f>80000</f>
        <v>80000</v>
      </c>
      <c r="N78" s="12"/>
      <c r="O78" s="12">
        <f>80000</f>
        <v>80000</v>
      </c>
      <c r="P78" s="12"/>
      <c r="Q78" s="12"/>
      <c r="R78" s="12"/>
      <c r="S78" s="12"/>
      <c r="T78" s="50">
        <f>0</f>
        <v>0</v>
      </c>
      <c r="U78" s="50"/>
    </row>
    <row r="79" spans="1:21" s="1" customFormat="1" ht="13.5" customHeight="1">
      <c r="A79" s="14" t="s">
        <v>101</v>
      </c>
      <c r="B79" s="14"/>
      <c r="C79" s="14"/>
      <c r="D79" s="14"/>
      <c r="E79" s="14"/>
      <c r="F79" s="14"/>
      <c r="G79" s="15" t="s">
        <v>100</v>
      </c>
      <c r="H79" s="15"/>
      <c r="I79" s="15" t="s">
        <v>147</v>
      </c>
      <c r="J79" s="15"/>
      <c r="K79" s="21" t="s">
        <v>103</v>
      </c>
      <c r="L79" s="21"/>
      <c r="M79" s="12">
        <f>276100</f>
        <v>276100</v>
      </c>
      <c r="N79" s="12"/>
      <c r="O79" s="12">
        <f>108727.05</f>
        <v>108727.05</v>
      </c>
      <c r="P79" s="12"/>
      <c r="Q79" s="12"/>
      <c r="R79" s="12"/>
      <c r="S79" s="12"/>
      <c r="T79" s="50">
        <f>167372.95</f>
        <v>167372.95</v>
      </c>
      <c r="U79" s="50"/>
    </row>
    <row r="80" spans="1:21" s="1" customFormat="1" ht="13.5" customHeight="1">
      <c r="A80" s="14" t="s">
        <v>108</v>
      </c>
      <c r="B80" s="14"/>
      <c r="C80" s="14"/>
      <c r="D80" s="14"/>
      <c r="E80" s="14"/>
      <c r="F80" s="14"/>
      <c r="G80" s="15" t="s">
        <v>100</v>
      </c>
      <c r="H80" s="15"/>
      <c r="I80" s="15" t="s">
        <v>148</v>
      </c>
      <c r="J80" s="15"/>
      <c r="K80" s="21" t="s">
        <v>110</v>
      </c>
      <c r="L80" s="21"/>
      <c r="M80" s="12">
        <f>10000</f>
        <v>10000</v>
      </c>
      <c r="N80" s="12"/>
      <c r="O80" s="17" t="s">
        <v>118</v>
      </c>
      <c r="P80" s="17"/>
      <c r="Q80" s="17"/>
      <c r="R80" s="17"/>
      <c r="S80" s="17"/>
      <c r="T80" s="50">
        <f>10000</f>
        <v>10000</v>
      </c>
      <c r="U80" s="50"/>
    </row>
    <row r="81" spans="1:21" s="1" customFormat="1" ht="13.5" customHeight="1">
      <c r="A81" s="14" t="s">
        <v>104</v>
      </c>
      <c r="B81" s="14"/>
      <c r="C81" s="14"/>
      <c r="D81" s="14"/>
      <c r="E81" s="14"/>
      <c r="F81" s="14"/>
      <c r="G81" s="15" t="s">
        <v>100</v>
      </c>
      <c r="H81" s="15"/>
      <c r="I81" s="15" t="s">
        <v>149</v>
      </c>
      <c r="J81" s="15"/>
      <c r="K81" s="21" t="s">
        <v>106</v>
      </c>
      <c r="L81" s="21"/>
      <c r="M81" s="12">
        <f>83400</f>
        <v>83400</v>
      </c>
      <c r="N81" s="12"/>
      <c r="O81" s="12">
        <f>27420.17</f>
        <v>27420.17</v>
      </c>
      <c r="P81" s="12"/>
      <c r="Q81" s="12"/>
      <c r="R81" s="12"/>
      <c r="S81" s="12"/>
      <c r="T81" s="50">
        <f>55979.83</f>
        <v>55979.83</v>
      </c>
      <c r="U81" s="50"/>
    </row>
    <row r="82" spans="1:21" s="1" customFormat="1" ht="13.5" customHeight="1">
      <c r="A82" s="14" t="s">
        <v>122</v>
      </c>
      <c r="B82" s="14"/>
      <c r="C82" s="14"/>
      <c r="D82" s="14"/>
      <c r="E82" s="14"/>
      <c r="F82" s="14"/>
      <c r="G82" s="15" t="s">
        <v>100</v>
      </c>
      <c r="H82" s="15"/>
      <c r="I82" s="15" t="s">
        <v>150</v>
      </c>
      <c r="J82" s="15"/>
      <c r="K82" s="21" t="s">
        <v>124</v>
      </c>
      <c r="L82" s="21"/>
      <c r="M82" s="12">
        <f>8700</f>
        <v>8700</v>
      </c>
      <c r="N82" s="12"/>
      <c r="O82" s="12">
        <f>5482.97</f>
        <v>5482.97</v>
      </c>
      <c r="P82" s="12"/>
      <c r="Q82" s="12"/>
      <c r="R82" s="12"/>
      <c r="S82" s="12"/>
      <c r="T82" s="50">
        <f>3217.03</f>
        <v>3217.03</v>
      </c>
      <c r="U82" s="50"/>
    </row>
    <row r="83" spans="1:21" s="1" customFormat="1" ht="13.5" customHeight="1">
      <c r="A83" s="14" t="s">
        <v>101</v>
      </c>
      <c r="B83" s="14"/>
      <c r="C83" s="14"/>
      <c r="D83" s="14"/>
      <c r="E83" s="14"/>
      <c r="F83" s="14"/>
      <c r="G83" s="15" t="s">
        <v>100</v>
      </c>
      <c r="H83" s="15"/>
      <c r="I83" s="15" t="s">
        <v>151</v>
      </c>
      <c r="J83" s="15"/>
      <c r="K83" s="21" t="s">
        <v>103</v>
      </c>
      <c r="L83" s="21"/>
      <c r="M83" s="12">
        <f>50000</f>
        <v>50000</v>
      </c>
      <c r="N83" s="12"/>
      <c r="O83" s="12">
        <f>22736.32</f>
        <v>22736.32</v>
      </c>
      <c r="P83" s="12"/>
      <c r="Q83" s="12"/>
      <c r="R83" s="12"/>
      <c r="S83" s="12"/>
      <c r="T83" s="50">
        <f>27263.68</f>
        <v>27263.68</v>
      </c>
      <c r="U83" s="50"/>
    </row>
    <row r="84" spans="1:21" s="1" customFormat="1" ht="13.5" customHeight="1">
      <c r="A84" s="14" t="s">
        <v>104</v>
      </c>
      <c r="B84" s="14"/>
      <c r="C84" s="14"/>
      <c r="D84" s="14"/>
      <c r="E84" s="14"/>
      <c r="F84" s="14"/>
      <c r="G84" s="15" t="s">
        <v>100</v>
      </c>
      <c r="H84" s="15"/>
      <c r="I84" s="15" t="s">
        <v>152</v>
      </c>
      <c r="J84" s="15"/>
      <c r="K84" s="21" t="s">
        <v>106</v>
      </c>
      <c r="L84" s="21"/>
      <c r="M84" s="12">
        <f>15100</f>
        <v>15100</v>
      </c>
      <c r="N84" s="12"/>
      <c r="O84" s="12">
        <f>11000</f>
        <v>11000</v>
      </c>
      <c r="P84" s="12"/>
      <c r="Q84" s="12"/>
      <c r="R84" s="12"/>
      <c r="S84" s="12"/>
      <c r="T84" s="50">
        <f>4100</f>
        <v>4100</v>
      </c>
      <c r="U84" s="50"/>
    </row>
    <row r="85" spans="1:21" s="1" customFormat="1" ht="13.5" customHeight="1">
      <c r="A85" s="14" t="s">
        <v>131</v>
      </c>
      <c r="B85" s="14"/>
      <c r="C85" s="14"/>
      <c r="D85" s="14"/>
      <c r="E85" s="14"/>
      <c r="F85" s="14"/>
      <c r="G85" s="15" t="s">
        <v>100</v>
      </c>
      <c r="H85" s="15"/>
      <c r="I85" s="15" t="s">
        <v>153</v>
      </c>
      <c r="J85" s="15"/>
      <c r="K85" s="21" t="s">
        <v>132</v>
      </c>
      <c r="L85" s="21"/>
      <c r="M85" s="12">
        <f>15300</f>
        <v>15300</v>
      </c>
      <c r="N85" s="12"/>
      <c r="O85" s="17" t="s">
        <v>118</v>
      </c>
      <c r="P85" s="17"/>
      <c r="Q85" s="17"/>
      <c r="R85" s="17"/>
      <c r="S85" s="17"/>
      <c r="T85" s="50">
        <f>15300</f>
        <v>15300</v>
      </c>
      <c r="U85" s="50"/>
    </row>
    <row r="86" spans="1:21" s="1" customFormat="1" ht="13.5" customHeight="1">
      <c r="A86" s="14" t="s">
        <v>131</v>
      </c>
      <c r="B86" s="14"/>
      <c r="C86" s="14"/>
      <c r="D86" s="14"/>
      <c r="E86" s="14"/>
      <c r="F86" s="14"/>
      <c r="G86" s="15" t="s">
        <v>100</v>
      </c>
      <c r="H86" s="15"/>
      <c r="I86" s="15" t="s">
        <v>154</v>
      </c>
      <c r="J86" s="15"/>
      <c r="K86" s="21" t="s">
        <v>132</v>
      </c>
      <c r="L86" s="21"/>
      <c r="M86" s="12">
        <f>40200</f>
        <v>40200</v>
      </c>
      <c r="N86" s="12"/>
      <c r="O86" s="12">
        <f>10374</f>
        <v>10374</v>
      </c>
      <c r="P86" s="12"/>
      <c r="Q86" s="12"/>
      <c r="R86" s="12"/>
      <c r="S86" s="12"/>
      <c r="T86" s="50">
        <f>29826</f>
        <v>29826</v>
      </c>
      <c r="U86" s="50"/>
    </row>
    <row r="87" spans="1:21" s="1" customFormat="1" ht="13.5" customHeight="1">
      <c r="A87" s="14" t="s">
        <v>127</v>
      </c>
      <c r="B87" s="14"/>
      <c r="C87" s="14"/>
      <c r="D87" s="14"/>
      <c r="E87" s="14"/>
      <c r="F87" s="14"/>
      <c r="G87" s="15" t="s">
        <v>100</v>
      </c>
      <c r="H87" s="15"/>
      <c r="I87" s="15" t="s">
        <v>155</v>
      </c>
      <c r="J87" s="15"/>
      <c r="K87" s="21" t="s">
        <v>128</v>
      </c>
      <c r="L87" s="21"/>
      <c r="M87" s="12">
        <f>200000</f>
        <v>200000</v>
      </c>
      <c r="N87" s="12"/>
      <c r="O87" s="12">
        <f>94663</f>
        <v>94663</v>
      </c>
      <c r="P87" s="12"/>
      <c r="Q87" s="12"/>
      <c r="R87" s="12"/>
      <c r="S87" s="12"/>
      <c r="T87" s="50">
        <f>105337</f>
        <v>105337</v>
      </c>
      <c r="U87" s="50"/>
    </row>
    <row r="88" spans="1:21" s="1" customFormat="1" ht="13.5" customHeight="1">
      <c r="A88" s="14" t="s">
        <v>127</v>
      </c>
      <c r="B88" s="14"/>
      <c r="C88" s="14"/>
      <c r="D88" s="14"/>
      <c r="E88" s="14"/>
      <c r="F88" s="14"/>
      <c r="G88" s="15" t="s">
        <v>100</v>
      </c>
      <c r="H88" s="15"/>
      <c r="I88" s="15" t="s">
        <v>156</v>
      </c>
      <c r="J88" s="15"/>
      <c r="K88" s="21" t="s">
        <v>128</v>
      </c>
      <c r="L88" s="21"/>
      <c r="M88" s="12">
        <f>120000</f>
        <v>120000</v>
      </c>
      <c r="N88" s="12"/>
      <c r="O88" s="12">
        <f>120000</f>
        <v>120000</v>
      </c>
      <c r="P88" s="12"/>
      <c r="Q88" s="12"/>
      <c r="R88" s="12"/>
      <c r="S88" s="12"/>
      <c r="T88" s="50">
        <f>0</f>
        <v>0</v>
      </c>
      <c r="U88" s="50"/>
    </row>
    <row r="89" spans="1:21" s="1" customFormat="1" ht="13.5" customHeight="1">
      <c r="A89" s="14" t="s">
        <v>119</v>
      </c>
      <c r="B89" s="14"/>
      <c r="C89" s="14"/>
      <c r="D89" s="14"/>
      <c r="E89" s="14"/>
      <c r="F89" s="14"/>
      <c r="G89" s="15" t="s">
        <v>100</v>
      </c>
      <c r="H89" s="15"/>
      <c r="I89" s="15" t="s">
        <v>156</v>
      </c>
      <c r="J89" s="15"/>
      <c r="K89" s="21" t="s">
        <v>121</v>
      </c>
      <c r="L89" s="21"/>
      <c r="M89" s="12">
        <f>168900</f>
        <v>168900</v>
      </c>
      <c r="N89" s="12"/>
      <c r="O89" s="12">
        <f>38500</f>
        <v>38500</v>
      </c>
      <c r="P89" s="12"/>
      <c r="Q89" s="12"/>
      <c r="R89" s="12"/>
      <c r="S89" s="12"/>
      <c r="T89" s="50">
        <f>130400</f>
        <v>130400</v>
      </c>
      <c r="U89" s="50"/>
    </row>
    <row r="90" spans="1:21" s="1" customFormat="1" ht="13.5" customHeight="1">
      <c r="A90" s="14" t="s">
        <v>115</v>
      </c>
      <c r="B90" s="14"/>
      <c r="C90" s="14"/>
      <c r="D90" s="14"/>
      <c r="E90" s="14"/>
      <c r="F90" s="14"/>
      <c r="G90" s="15" t="s">
        <v>100</v>
      </c>
      <c r="H90" s="15"/>
      <c r="I90" s="15" t="s">
        <v>157</v>
      </c>
      <c r="J90" s="15"/>
      <c r="K90" s="21" t="s">
        <v>117</v>
      </c>
      <c r="L90" s="21"/>
      <c r="M90" s="12">
        <f>20040</f>
        <v>20040</v>
      </c>
      <c r="N90" s="12"/>
      <c r="O90" s="17" t="s">
        <v>118</v>
      </c>
      <c r="P90" s="17"/>
      <c r="Q90" s="17"/>
      <c r="R90" s="17"/>
      <c r="S90" s="17"/>
      <c r="T90" s="50">
        <f>20040</f>
        <v>20040</v>
      </c>
      <c r="U90" s="50"/>
    </row>
    <row r="91" spans="1:21" s="1" customFormat="1" ht="13.5" customHeight="1">
      <c r="A91" s="14" t="s">
        <v>115</v>
      </c>
      <c r="B91" s="14"/>
      <c r="C91" s="14"/>
      <c r="D91" s="14"/>
      <c r="E91" s="14"/>
      <c r="F91" s="14"/>
      <c r="G91" s="15" t="s">
        <v>100</v>
      </c>
      <c r="H91" s="15"/>
      <c r="I91" s="15" t="s">
        <v>158</v>
      </c>
      <c r="J91" s="15"/>
      <c r="K91" s="21" t="s">
        <v>117</v>
      </c>
      <c r="L91" s="21"/>
      <c r="M91" s="12">
        <f>8590</f>
        <v>8590</v>
      </c>
      <c r="N91" s="12"/>
      <c r="O91" s="12">
        <f>8590</f>
        <v>8590</v>
      </c>
      <c r="P91" s="12"/>
      <c r="Q91" s="12"/>
      <c r="R91" s="12"/>
      <c r="S91" s="12"/>
      <c r="T91" s="50">
        <f>0</f>
        <v>0</v>
      </c>
      <c r="U91" s="50"/>
    </row>
    <row r="92" spans="1:21" s="1" customFormat="1" ht="13.5" customHeight="1">
      <c r="A92" s="14" t="s">
        <v>119</v>
      </c>
      <c r="B92" s="14"/>
      <c r="C92" s="14"/>
      <c r="D92" s="14"/>
      <c r="E92" s="14"/>
      <c r="F92" s="14"/>
      <c r="G92" s="15" t="s">
        <v>100</v>
      </c>
      <c r="H92" s="15"/>
      <c r="I92" s="15" t="s">
        <v>159</v>
      </c>
      <c r="J92" s="15"/>
      <c r="K92" s="21" t="s">
        <v>121</v>
      </c>
      <c r="L92" s="21"/>
      <c r="M92" s="12">
        <f>500000</f>
        <v>500000</v>
      </c>
      <c r="N92" s="12"/>
      <c r="O92" s="12">
        <f>296560.51</f>
        <v>296560.51</v>
      </c>
      <c r="P92" s="12"/>
      <c r="Q92" s="12"/>
      <c r="R92" s="12"/>
      <c r="S92" s="12"/>
      <c r="T92" s="50">
        <f>203439.49</f>
        <v>203439.49</v>
      </c>
      <c r="U92" s="50"/>
    </row>
    <row r="93" spans="1:21" s="1" customFormat="1" ht="13.5" customHeight="1">
      <c r="A93" s="14" t="s">
        <v>119</v>
      </c>
      <c r="B93" s="14"/>
      <c r="C93" s="14"/>
      <c r="D93" s="14"/>
      <c r="E93" s="14"/>
      <c r="F93" s="14"/>
      <c r="G93" s="15" t="s">
        <v>100</v>
      </c>
      <c r="H93" s="15"/>
      <c r="I93" s="15" t="s">
        <v>160</v>
      </c>
      <c r="J93" s="15"/>
      <c r="K93" s="21" t="s">
        <v>121</v>
      </c>
      <c r="L93" s="21"/>
      <c r="M93" s="12">
        <f>1820142.16</f>
        <v>1820142.16</v>
      </c>
      <c r="N93" s="12"/>
      <c r="O93" s="12">
        <f>316240.27</f>
        <v>316240.27</v>
      </c>
      <c r="P93" s="12"/>
      <c r="Q93" s="12"/>
      <c r="R93" s="12"/>
      <c r="S93" s="12"/>
      <c r="T93" s="50">
        <f>1503901.89</f>
        <v>1503901.89</v>
      </c>
      <c r="U93" s="50"/>
    </row>
    <row r="94" spans="1:21" s="1" customFormat="1" ht="24" customHeight="1">
      <c r="A94" s="14" t="s">
        <v>161</v>
      </c>
      <c r="B94" s="14"/>
      <c r="C94" s="14"/>
      <c r="D94" s="14"/>
      <c r="E94" s="14"/>
      <c r="F94" s="14"/>
      <c r="G94" s="15" t="s">
        <v>100</v>
      </c>
      <c r="H94" s="15"/>
      <c r="I94" s="15" t="s">
        <v>162</v>
      </c>
      <c r="J94" s="15"/>
      <c r="K94" s="21" t="s">
        <v>163</v>
      </c>
      <c r="L94" s="21"/>
      <c r="M94" s="12">
        <f>1500000</f>
        <v>1500000</v>
      </c>
      <c r="N94" s="12"/>
      <c r="O94" s="12">
        <f>619418.78</f>
        <v>619418.78</v>
      </c>
      <c r="P94" s="12"/>
      <c r="Q94" s="12"/>
      <c r="R94" s="12"/>
      <c r="S94" s="12"/>
      <c r="T94" s="50">
        <f>880581.22</f>
        <v>880581.22</v>
      </c>
      <c r="U94" s="50"/>
    </row>
    <row r="95" spans="1:21" s="1" customFormat="1" ht="13.5" customHeight="1">
      <c r="A95" s="14" t="s">
        <v>127</v>
      </c>
      <c r="B95" s="14"/>
      <c r="C95" s="14"/>
      <c r="D95" s="14"/>
      <c r="E95" s="14"/>
      <c r="F95" s="14"/>
      <c r="G95" s="15" t="s">
        <v>100</v>
      </c>
      <c r="H95" s="15"/>
      <c r="I95" s="15" t="s">
        <v>164</v>
      </c>
      <c r="J95" s="15"/>
      <c r="K95" s="21" t="s">
        <v>128</v>
      </c>
      <c r="L95" s="21"/>
      <c r="M95" s="12">
        <f>5454402</f>
        <v>5454402</v>
      </c>
      <c r="N95" s="12"/>
      <c r="O95" s="12">
        <f>1939997.3</f>
        <v>1939997.3</v>
      </c>
      <c r="P95" s="12"/>
      <c r="Q95" s="12"/>
      <c r="R95" s="12"/>
      <c r="S95" s="12"/>
      <c r="T95" s="50">
        <f>3514404.7</f>
        <v>3514404.7</v>
      </c>
      <c r="U95" s="50"/>
    </row>
    <row r="96" spans="1:21" s="1" customFormat="1" ht="13.5" customHeight="1">
      <c r="A96" s="14" t="s">
        <v>131</v>
      </c>
      <c r="B96" s="14"/>
      <c r="C96" s="14"/>
      <c r="D96" s="14"/>
      <c r="E96" s="14"/>
      <c r="F96" s="14"/>
      <c r="G96" s="15" t="s">
        <v>100</v>
      </c>
      <c r="H96" s="15"/>
      <c r="I96" s="15" t="s">
        <v>165</v>
      </c>
      <c r="J96" s="15"/>
      <c r="K96" s="21" t="s">
        <v>132</v>
      </c>
      <c r="L96" s="21"/>
      <c r="M96" s="12">
        <f>70000</f>
        <v>70000</v>
      </c>
      <c r="N96" s="12"/>
      <c r="O96" s="12">
        <f>3640</f>
        <v>3640</v>
      </c>
      <c r="P96" s="12"/>
      <c r="Q96" s="12"/>
      <c r="R96" s="12"/>
      <c r="S96" s="12"/>
      <c r="T96" s="50">
        <f>66360</f>
        <v>66360</v>
      </c>
      <c r="U96" s="50"/>
    </row>
    <row r="97" spans="1:21" s="1" customFormat="1" ht="13.5" customHeight="1">
      <c r="A97" s="14" t="s">
        <v>127</v>
      </c>
      <c r="B97" s="14"/>
      <c r="C97" s="14"/>
      <c r="D97" s="14"/>
      <c r="E97" s="14"/>
      <c r="F97" s="14"/>
      <c r="G97" s="15" t="s">
        <v>100</v>
      </c>
      <c r="H97" s="15"/>
      <c r="I97" s="15" t="s">
        <v>166</v>
      </c>
      <c r="J97" s="15"/>
      <c r="K97" s="21" t="s">
        <v>128</v>
      </c>
      <c r="L97" s="21"/>
      <c r="M97" s="12">
        <f>40000</f>
        <v>40000</v>
      </c>
      <c r="N97" s="12"/>
      <c r="O97" s="17" t="s">
        <v>118</v>
      </c>
      <c r="P97" s="17"/>
      <c r="Q97" s="17"/>
      <c r="R97" s="17"/>
      <c r="S97" s="17"/>
      <c r="T97" s="50">
        <f>40000</f>
        <v>40000</v>
      </c>
      <c r="U97" s="50"/>
    </row>
    <row r="98" spans="1:21" s="1" customFormat="1" ht="13.5" customHeight="1">
      <c r="A98" s="14" t="s">
        <v>129</v>
      </c>
      <c r="B98" s="14"/>
      <c r="C98" s="14"/>
      <c r="D98" s="14"/>
      <c r="E98" s="14"/>
      <c r="F98" s="14"/>
      <c r="G98" s="15" t="s">
        <v>100</v>
      </c>
      <c r="H98" s="15"/>
      <c r="I98" s="15" t="s">
        <v>166</v>
      </c>
      <c r="J98" s="15"/>
      <c r="K98" s="21" t="s">
        <v>130</v>
      </c>
      <c r="L98" s="21"/>
      <c r="M98" s="12">
        <f>309147.28</f>
        <v>309147.28</v>
      </c>
      <c r="N98" s="12"/>
      <c r="O98" s="12">
        <f>99664</f>
        <v>99664</v>
      </c>
      <c r="P98" s="12"/>
      <c r="Q98" s="12"/>
      <c r="R98" s="12"/>
      <c r="S98" s="12"/>
      <c r="T98" s="50">
        <f>209483.28</f>
        <v>209483.28</v>
      </c>
      <c r="U98" s="50"/>
    </row>
    <row r="99" spans="1:21" s="1" customFormat="1" ht="13.5" customHeight="1">
      <c r="A99" s="14" t="s">
        <v>122</v>
      </c>
      <c r="B99" s="14"/>
      <c r="C99" s="14"/>
      <c r="D99" s="14"/>
      <c r="E99" s="14"/>
      <c r="F99" s="14"/>
      <c r="G99" s="15" t="s">
        <v>100</v>
      </c>
      <c r="H99" s="15"/>
      <c r="I99" s="15" t="s">
        <v>167</v>
      </c>
      <c r="J99" s="15"/>
      <c r="K99" s="21" t="s">
        <v>124</v>
      </c>
      <c r="L99" s="21"/>
      <c r="M99" s="12">
        <f>150963.67</f>
        <v>150963.67</v>
      </c>
      <c r="N99" s="12"/>
      <c r="O99" s="12">
        <f>44456.37</f>
        <v>44456.37</v>
      </c>
      <c r="P99" s="12"/>
      <c r="Q99" s="12"/>
      <c r="R99" s="12"/>
      <c r="S99" s="12"/>
      <c r="T99" s="50">
        <f>106507.3</f>
        <v>106507.3</v>
      </c>
      <c r="U99" s="50"/>
    </row>
    <row r="100" spans="1:21" s="1" customFormat="1" ht="13.5" customHeight="1">
      <c r="A100" s="14" t="s">
        <v>119</v>
      </c>
      <c r="B100" s="14"/>
      <c r="C100" s="14"/>
      <c r="D100" s="14"/>
      <c r="E100" s="14"/>
      <c r="F100" s="14"/>
      <c r="G100" s="15" t="s">
        <v>100</v>
      </c>
      <c r="H100" s="15"/>
      <c r="I100" s="15" t="s">
        <v>168</v>
      </c>
      <c r="J100" s="15"/>
      <c r="K100" s="21" t="s">
        <v>121</v>
      </c>
      <c r="L100" s="21"/>
      <c r="M100" s="12">
        <f>211800</f>
        <v>211800</v>
      </c>
      <c r="N100" s="12"/>
      <c r="O100" s="12">
        <f>68668.8</f>
        <v>68668.8</v>
      </c>
      <c r="P100" s="12"/>
      <c r="Q100" s="12"/>
      <c r="R100" s="12"/>
      <c r="S100" s="12"/>
      <c r="T100" s="50">
        <f>143131.2</f>
        <v>143131.2</v>
      </c>
      <c r="U100" s="50"/>
    </row>
    <row r="101" spans="1:21" s="1" customFormat="1" ht="13.5" customHeight="1">
      <c r="A101" s="14" t="s">
        <v>129</v>
      </c>
      <c r="B101" s="14"/>
      <c r="C101" s="14"/>
      <c r="D101" s="14"/>
      <c r="E101" s="14"/>
      <c r="F101" s="14"/>
      <c r="G101" s="15" t="s">
        <v>100</v>
      </c>
      <c r="H101" s="15"/>
      <c r="I101" s="15" t="s">
        <v>168</v>
      </c>
      <c r="J101" s="15"/>
      <c r="K101" s="21" t="s">
        <v>130</v>
      </c>
      <c r="L101" s="21"/>
      <c r="M101" s="12">
        <f>50000</f>
        <v>50000</v>
      </c>
      <c r="N101" s="12"/>
      <c r="O101" s="12">
        <f>33500</f>
        <v>33500</v>
      </c>
      <c r="P101" s="12"/>
      <c r="Q101" s="12"/>
      <c r="R101" s="12"/>
      <c r="S101" s="12"/>
      <c r="T101" s="50">
        <f>16500</f>
        <v>16500</v>
      </c>
      <c r="U101" s="50"/>
    </row>
    <row r="102" spans="1:21" s="1" customFormat="1" ht="13.5" customHeight="1">
      <c r="A102" s="14" t="s">
        <v>131</v>
      </c>
      <c r="B102" s="14"/>
      <c r="C102" s="14"/>
      <c r="D102" s="14"/>
      <c r="E102" s="14"/>
      <c r="F102" s="14"/>
      <c r="G102" s="15" t="s">
        <v>100</v>
      </c>
      <c r="H102" s="15"/>
      <c r="I102" s="15" t="s">
        <v>168</v>
      </c>
      <c r="J102" s="15"/>
      <c r="K102" s="21" t="s">
        <v>132</v>
      </c>
      <c r="L102" s="21"/>
      <c r="M102" s="12">
        <f>70000</f>
        <v>70000</v>
      </c>
      <c r="N102" s="12"/>
      <c r="O102" s="12">
        <f>59880</f>
        <v>59880</v>
      </c>
      <c r="P102" s="12"/>
      <c r="Q102" s="12"/>
      <c r="R102" s="12"/>
      <c r="S102" s="12"/>
      <c r="T102" s="50">
        <f>10120</f>
        <v>10120</v>
      </c>
      <c r="U102" s="50"/>
    </row>
    <row r="103" spans="1:21" s="1" customFormat="1" ht="13.5" customHeight="1">
      <c r="A103" s="14" t="s">
        <v>119</v>
      </c>
      <c r="B103" s="14"/>
      <c r="C103" s="14"/>
      <c r="D103" s="14"/>
      <c r="E103" s="14"/>
      <c r="F103" s="14"/>
      <c r="G103" s="15" t="s">
        <v>100</v>
      </c>
      <c r="H103" s="15"/>
      <c r="I103" s="15" t="s">
        <v>169</v>
      </c>
      <c r="J103" s="15"/>
      <c r="K103" s="21" t="s">
        <v>121</v>
      </c>
      <c r="L103" s="21"/>
      <c r="M103" s="12">
        <f>200000</f>
        <v>200000</v>
      </c>
      <c r="N103" s="12"/>
      <c r="O103" s="12">
        <f>22000</f>
        <v>22000</v>
      </c>
      <c r="P103" s="12"/>
      <c r="Q103" s="12"/>
      <c r="R103" s="12"/>
      <c r="S103" s="12"/>
      <c r="T103" s="50">
        <f>178000</f>
        <v>178000</v>
      </c>
      <c r="U103" s="50"/>
    </row>
    <row r="104" spans="1:21" s="1" customFormat="1" ht="13.5" customHeight="1">
      <c r="A104" s="14" t="s">
        <v>127</v>
      </c>
      <c r="B104" s="14"/>
      <c r="C104" s="14"/>
      <c r="D104" s="14"/>
      <c r="E104" s="14"/>
      <c r="F104" s="14"/>
      <c r="G104" s="15" t="s">
        <v>100</v>
      </c>
      <c r="H104" s="15"/>
      <c r="I104" s="15" t="s">
        <v>170</v>
      </c>
      <c r="J104" s="15"/>
      <c r="K104" s="21" t="s">
        <v>128</v>
      </c>
      <c r="L104" s="21"/>
      <c r="M104" s="12">
        <f>303500</f>
        <v>303500</v>
      </c>
      <c r="N104" s="12"/>
      <c r="O104" s="12">
        <f>132405.34</f>
        <v>132405.34</v>
      </c>
      <c r="P104" s="12"/>
      <c r="Q104" s="12"/>
      <c r="R104" s="12"/>
      <c r="S104" s="12"/>
      <c r="T104" s="50">
        <f>171094.66</f>
        <v>171094.66</v>
      </c>
      <c r="U104" s="50"/>
    </row>
    <row r="105" spans="1:21" s="1" customFormat="1" ht="13.5" customHeight="1">
      <c r="A105" s="14" t="s">
        <v>127</v>
      </c>
      <c r="B105" s="14"/>
      <c r="C105" s="14"/>
      <c r="D105" s="14"/>
      <c r="E105" s="14"/>
      <c r="F105" s="14"/>
      <c r="G105" s="15" t="s">
        <v>100</v>
      </c>
      <c r="H105" s="15"/>
      <c r="I105" s="15" t="s">
        <v>171</v>
      </c>
      <c r="J105" s="15"/>
      <c r="K105" s="21" t="s">
        <v>128</v>
      </c>
      <c r="L105" s="21"/>
      <c r="M105" s="12">
        <f>160000</f>
        <v>160000</v>
      </c>
      <c r="N105" s="12"/>
      <c r="O105" s="17" t="s">
        <v>118</v>
      </c>
      <c r="P105" s="17"/>
      <c r="Q105" s="17"/>
      <c r="R105" s="17"/>
      <c r="S105" s="17"/>
      <c r="T105" s="50">
        <f>160000</f>
        <v>160000</v>
      </c>
      <c r="U105" s="50"/>
    </row>
    <row r="106" spans="1:21" s="1" customFormat="1" ht="24" customHeight="1">
      <c r="A106" s="14" t="s">
        <v>161</v>
      </c>
      <c r="B106" s="14"/>
      <c r="C106" s="14"/>
      <c r="D106" s="14"/>
      <c r="E106" s="14"/>
      <c r="F106" s="14"/>
      <c r="G106" s="15" t="s">
        <v>100</v>
      </c>
      <c r="H106" s="15"/>
      <c r="I106" s="15" t="s">
        <v>172</v>
      </c>
      <c r="J106" s="15"/>
      <c r="K106" s="21" t="s">
        <v>163</v>
      </c>
      <c r="L106" s="21"/>
      <c r="M106" s="12">
        <f>430000</f>
        <v>430000</v>
      </c>
      <c r="N106" s="12"/>
      <c r="O106" s="17" t="s">
        <v>118</v>
      </c>
      <c r="P106" s="17"/>
      <c r="Q106" s="17"/>
      <c r="R106" s="17"/>
      <c r="S106" s="17"/>
      <c r="T106" s="50">
        <f>430000</f>
        <v>430000</v>
      </c>
      <c r="U106" s="50"/>
    </row>
    <row r="107" spans="1:21" s="1" customFormat="1" ht="13.5" customHeight="1">
      <c r="A107" s="14" t="s">
        <v>112</v>
      </c>
      <c r="B107" s="14"/>
      <c r="C107" s="14"/>
      <c r="D107" s="14"/>
      <c r="E107" s="14"/>
      <c r="F107" s="14"/>
      <c r="G107" s="15" t="s">
        <v>100</v>
      </c>
      <c r="H107" s="15"/>
      <c r="I107" s="15" t="s">
        <v>173</v>
      </c>
      <c r="J107" s="15"/>
      <c r="K107" s="21" t="s">
        <v>114</v>
      </c>
      <c r="L107" s="21"/>
      <c r="M107" s="12">
        <f>100000</f>
        <v>100000</v>
      </c>
      <c r="N107" s="12"/>
      <c r="O107" s="17" t="s">
        <v>118</v>
      </c>
      <c r="P107" s="17"/>
      <c r="Q107" s="17"/>
      <c r="R107" s="17"/>
      <c r="S107" s="17"/>
      <c r="T107" s="50">
        <f>100000</f>
        <v>100000</v>
      </c>
      <c r="U107" s="50"/>
    </row>
    <row r="108" spans="1:21" s="1" customFormat="1" ht="13.5" customHeight="1">
      <c r="A108" s="14" t="s">
        <v>125</v>
      </c>
      <c r="B108" s="14"/>
      <c r="C108" s="14"/>
      <c r="D108" s="14"/>
      <c r="E108" s="14"/>
      <c r="F108" s="14"/>
      <c r="G108" s="15" t="s">
        <v>100</v>
      </c>
      <c r="H108" s="15"/>
      <c r="I108" s="15" t="s">
        <v>174</v>
      </c>
      <c r="J108" s="15"/>
      <c r="K108" s="21" t="s">
        <v>126</v>
      </c>
      <c r="L108" s="21"/>
      <c r="M108" s="12">
        <f>934628.06</f>
        <v>934628.06</v>
      </c>
      <c r="N108" s="12"/>
      <c r="O108" s="12">
        <f>430560.44</f>
        <v>430560.44</v>
      </c>
      <c r="P108" s="12"/>
      <c r="Q108" s="12"/>
      <c r="R108" s="12"/>
      <c r="S108" s="12"/>
      <c r="T108" s="50">
        <f>504067.62</f>
        <v>504067.62</v>
      </c>
      <c r="U108" s="50"/>
    </row>
    <row r="109" spans="1:21" s="1" customFormat="1" ht="13.5" customHeight="1">
      <c r="A109" s="14" t="s">
        <v>127</v>
      </c>
      <c r="B109" s="14"/>
      <c r="C109" s="14"/>
      <c r="D109" s="14"/>
      <c r="E109" s="14"/>
      <c r="F109" s="14"/>
      <c r="G109" s="15" t="s">
        <v>100</v>
      </c>
      <c r="H109" s="15"/>
      <c r="I109" s="15" t="s">
        <v>174</v>
      </c>
      <c r="J109" s="15"/>
      <c r="K109" s="21" t="s">
        <v>128</v>
      </c>
      <c r="L109" s="21"/>
      <c r="M109" s="12">
        <f>50000</f>
        <v>50000</v>
      </c>
      <c r="N109" s="12"/>
      <c r="O109" s="17" t="s">
        <v>118</v>
      </c>
      <c r="P109" s="17"/>
      <c r="Q109" s="17"/>
      <c r="R109" s="17"/>
      <c r="S109" s="17"/>
      <c r="T109" s="50">
        <f>50000</f>
        <v>50000</v>
      </c>
      <c r="U109" s="50"/>
    </row>
    <row r="110" spans="1:21" s="1" customFormat="1" ht="13.5" customHeight="1">
      <c r="A110" s="14" t="s">
        <v>131</v>
      </c>
      <c r="B110" s="14"/>
      <c r="C110" s="14"/>
      <c r="D110" s="14"/>
      <c r="E110" s="14"/>
      <c r="F110" s="14"/>
      <c r="G110" s="15" t="s">
        <v>100</v>
      </c>
      <c r="H110" s="15"/>
      <c r="I110" s="15" t="s">
        <v>175</v>
      </c>
      <c r="J110" s="15"/>
      <c r="K110" s="21" t="s">
        <v>132</v>
      </c>
      <c r="L110" s="21"/>
      <c r="M110" s="12">
        <f>20000</f>
        <v>20000</v>
      </c>
      <c r="N110" s="12"/>
      <c r="O110" s="17" t="s">
        <v>118</v>
      </c>
      <c r="P110" s="17"/>
      <c r="Q110" s="17"/>
      <c r="R110" s="17"/>
      <c r="S110" s="17"/>
      <c r="T110" s="50">
        <f>20000</f>
        <v>20000</v>
      </c>
      <c r="U110" s="50"/>
    </row>
    <row r="111" spans="1:21" s="1" customFormat="1" ht="13.5" customHeight="1">
      <c r="A111" s="14" t="s">
        <v>127</v>
      </c>
      <c r="B111" s="14"/>
      <c r="C111" s="14"/>
      <c r="D111" s="14"/>
      <c r="E111" s="14"/>
      <c r="F111" s="14"/>
      <c r="G111" s="15" t="s">
        <v>100</v>
      </c>
      <c r="H111" s="15"/>
      <c r="I111" s="15" t="s">
        <v>176</v>
      </c>
      <c r="J111" s="15"/>
      <c r="K111" s="21" t="s">
        <v>128</v>
      </c>
      <c r="L111" s="21"/>
      <c r="M111" s="12">
        <f>450000</f>
        <v>450000</v>
      </c>
      <c r="N111" s="12"/>
      <c r="O111" s="17" t="s">
        <v>118</v>
      </c>
      <c r="P111" s="17"/>
      <c r="Q111" s="17"/>
      <c r="R111" s="17"/>
      <c r="S111" s="17"/>
      <c r="T111" s="50">
        <f>450000</f>
        <v>450000</v>
      </c>
      <c r="U111" s="50"/>
    </row>
    <row r="112" spans="1:21" s="1" customFormat="1" ht="13.5" customHeight="1">
      <c r="A112" s="14" t="s">
        <v>127</v>
      </c>
      <c r="B112" s="14"/>
      <c r="C112" s="14"/>
      <c r="D112" s="14"/>
      <c r="E112" s="14"/>
      <c r="F112" s="14"/>
      <c r="G112" s="15" t="s">
        <v>100</v>
      </c>
      <c r="H112" s="15"/>
      <c r="I112" s="15" t="s">
        <v>177</v>
      </c>
      <c r="J112" s="15"/>
      <c r="K112" s="21" t="s">
        <v>128</v>
      </c>
      <c r="L112" s="21"/>
      <c r="M112" s="12">
        <f>20000</f>
        <v>20000</v>
      </c>
      <c r="N112" s="12"/>
      <c r="O112" s="17" t="s">
        <v>118</v>
      </c>
      <c r="P112" s="17"/>
      <c r="Q112" s="17"/>
      <c r="R112" s="17"/>
      <c r="S112" s="17"/>
      <c r="T112" s="50">
        <f>20000</f>
        <v>20000</v>
      </c>
      <c r="U112" s="50"/>
    </row>
    <row r="113" spans="1:21" s="1" customFormat="1" ht="13.5" customHeight="1">
      <c r="A113" s="14" t="s">
        <v>127</v>
      </c>
      <c r="B113" s="14"/>
      <c r="C113" s="14"/>
      <c r="D113" s="14"/>
      <c r="E113" s="14"/>
      <c r="F113" s="14"/>
      <c r="G113" s="15" t="s">
        <v>100</v>
      </c>
      <c r="H113" s="15"/>
      <c r="I113" s="15" t="s">
        <v>178</v>
      </c>
      <c r="J113" s="15"/>
      <c r="K113" s="21" t="s">
        <v>128</v>
      </c>
      <c r="L113" s="21"/>
      <c r="M113" s="12">
        <f>1690000</f>
        <v>1690000</v>
      </c>
      <c r="N113" s="12"/>
      <c r="O113" s="12">
        <f>339389</f>
        <v>339389</v>
      </c>
      <c r="P113" s="12"/>
      <c r="Q113" s="12"/>
      <c r="R113" s="12"/>
      <c r="S113" s="12"/>
      <c r="T113" s="50">
        <f>1350611</f>
        <v>1350611</v>
      </c>
      <c r="U113" s="50"/>
    </row>
    <row r="114" spans="1:21" s="1" customFormat="1" ht="13.5" customHeight="1">
      <c r="A114" s="14" t="s">
        <v>129</v>
      </c>
      <c r="B114" s="14"/>
      <c r="C114" s="14"/>
      <c r="D114" s="14"/>
      <c r="E114" s="14"/>
      <c r="F114" s="14"/>
      <c r="G114" s="15" t="s">
        <v>100</v>
      </c>
      <c r="H114" s="15"/>
      <c r="I114" s="15" t="s">
        <v>178</v>
      </c>
      <c r="J114" s="15"/>
      <c r="K114" s="21" t="s">
        <v>130</v>
      </c>
      <c r="L114" s="21"/>
      <c r="M114" s="12">
        <f>365000</f>
        <v>365000</v>
      </c>
      <c r="N114" s="12"/>
      <c r="O114" s="12">
        <f>243192</f>
        <v>243192</v>
      </c>
      <c r="P114" s="12"/>
      <c r="Q114" s="12"/>
      <c r="R114" s="12"/>
      <c r="S114" s="12"/>
      <c r="T114" s="50">
        <f>121808</f>
        <v>121808</v>
      </c>
      <c r="U114" s="50"/>
    </row>
    <row r="115" spans="1:21" s="1" customFormat="1" ht="13.5" customHeight="1">
      <c r="A115" s="14" t="s">
        <v>131</v>
      </c>
      <c r="B115" s="14"/>
      <c r="C115" s="14"/>
      <c r="D115" s="14"/>
      <c r="E115" s="14"/>
      <c r="F115" s="14"/>
      <c r="G115" s="15" t="s">
        <v>100</v>
      </c>
      <c r="H115" s="15"/>
      <c r="I115" s="15" t="s">
        <v>178</v>
      </c>
      <c r="J115" s="15"/>
      <c r="K115" s="21" t="s">
        <v>132</v>
      </c>
      <c r="L115" s="21"/>
      <c r="M115" s="12">
        <f>30000</f>
        <v>30000</v>
      </c>
      <c r="N115" s="12"/>
      <c r="O115" s="12">
        <f>5855</f>
        <v>5855</v>
      </c>
      <c r="P115" s="12"/>
      <c r="Q115" s="12"/>
      <c r="R115" s="12"/>
      <c r="S115" s="12"/>
      <c r="T115" s="50">
        <f>24145</f>
        <v>24145</v>
      </c>
      <c r="U115" s="50"/>
    </row>
    <row r="116" spans="1:21" s="1" customFormat="1" ht="13.5" customHeight="1">
      <c r="A116" s="14" t="s">
        <v>127</v>
      </c>
      <c r="B116" s="14"/>
      <c r="C116" s="14"/>
      <c r="D116" s="14"/>
      <c r="E116" s="14"/>
      <c r="F116" s="14"/>
      <c r="G116" s="15" t="s">
        <v>100</v>
      </c>
      <c r="H116" s="15"/>
      <c r="I116" s="15" t="s">
        <v>179</v>
      </c>
      <c r="J116" s="15"/>
      <c r="K116" s="21" t="s">
        <v>128</v>
      </c>
      <c r="L116" s="21"/>
      <c r="M116" s="12">
        <f>1031287.63</f>
        <v>1031287.63</v>
      </c>
      <c r="N116" s="12"/>
      <c r="O116" s="17" t="s">
        <v>118</v>
      </c>
      <c r="P116" s="17"/>
      <c r="Q116" s="17"/>
      <c r="R116" s="17"/>
      <c r="S116" s="17"/>
      <c r="T116" s="50">
        <f>1031287.63</f>
        <v>1031287.63</v>
      </c>
      <c r="U116" s="50"/>
    </row>
    <row r="117" spans="1:21" s="1" customFormat="1" ht="13.5" customHeight="1">
      <c r="A117" s="14" t="s">
        <v>115</v>
      </c>
      <c r="B117" s="14"/>
      <c r="C117" s="14"/>
      <c r="D117" s="14"/>
      <c r="E117" s="14"/>
      <c r="F117" s="14"/>
      <c r="G117" s="15" t="s">
        <v>100</v>
      </c>
      <c r="H117" s="15"/>
      <c r="I117" s="15" t="s">
        <v>179</v>
      </c>
      <c r="J117" s="15"/>
      <c r="K117" s="21" t="s">
        <v>117</v>
      </c>
      <c r="L117" s="21"/>
      <c r="M117" s="12">
        <f>60000</f>
        <v>60000</v>
      </c>
      <c r="N117" s="12"/>
      <c r="O117" s="17" t="s">
        <v>118</v>
      </c>
      <c r="P117" s="17"/>
      <c r="Q117" s="17"/>
      <c r="R117" s="17"/>
      <c r="S117" s="17"/>
      <c r="T117" s="50">
        <f>60000</f>
        <v>60000</v>
      </c>
      <c r="U117" s="50"/>
    </row>
    <row r="118" spans="1:21" s="1" customFormat="1" ht="13.5" customHeight="1">
      <c r="A118" s="14" t="s">
        <v>129</v>
      </c>
      <c r="B118" s="14"/>
      <c r="C118" s="14"/>
      <c r="D118" s="14"/>
      <c r="E118" s="14"/>
      <c r="F118" s="14"/>
      <c r="G118" s="15" t="s">
        <v>100</v>
      </c>
      <c r="H118" s="15"/>
      <c r="I118" s="15" t="s">
        <v>179</v>
      </c>
      <c r="J118" s="15"/>
      <c r="K118" s="21" t="s">
        <v>130</v>
      </c>
      <c r="L118" s="21"/>
      <c r="M118" s="12">
        <f>198000</f>
        <v>198000</v>
      </c>
      <c r="N118" s="12"/>
      <c r="O118" s="12">
        <f>198000</f>
        <v>198000</v>
      </c>
      <c r="P118" s="12"/>
      <c r="Q118" s="12"/>
      <c r="R118" s="12"/>
      <c r="S118" s="12"/>
      <c r="T118" s="50">
        <f>0</f>
        <v>0</v>
      </c>
      <c r="U118" s="50"/>
    </row>
    <row r="119" spans="1:21" s="1" customFormat="1" ht="13.5" customHeight="1">
      <c r="A119" s="14" t="s">
        <v>131</v>
      </c>
      <c r="B119" s="14"/>
      <c r="C119" s="14"/>
      <c r="D119" s="14"/>
      <c r="E119" s="14"/>
      <c r="F119" s="14"/>
      <c r="G119" s="15" t="s">
        <v>100</v>
      </c>
      <c r="H119" s="15"/>
      <c r="I119" s="15" t="s">
        <v>179</v>
      </c>
      <c r="J119" s="15"/>
      <c r="K119" s="21" t="s">
        <v>132</v>
      </c>
      <c r="L119" s="21"/>
      <c r="M119" s="12">
        <f>410000</f>
        <v>410000</v>
      </c>
      <c r="N119" s="12"/>
      <c r="O119" s="12">
        <f>127924.6</f>
        <v>127924.6</v>
      </c>
      <c r="P119" s="12"/>
      <c r="Q119" s="12"/>
      <c r="R119" s="12"/>
      <c r="S119" s="12"/>
      <c r="T119" s="50">
        <f>282075.4</f>
        <v>282075.4</v>
      </c>
      <c r="U119" s="50"/>
    </row>
    <row r="120" spans="1:21" s="1" customFormat="1" ht="13.5" customHeight="1">
      <c r="A120" s="14" t="s">
        <v>112</v>
      </c>
      <c r="B120" s="14"/>
      <c r="C120" s="14"/>
      <c r="D120" s="14"/>
      <c r="E120" s="14"/>
      <c r="F120" s="14"/>
      <c r="G120" s="15" t="s">
        <v>100</v>
      </c>
      <c r="H120" s="15"/>
      <c r="I120" s="15" t="s">
        <v>180</v>
      </c>
      <c r="J120" s="15"/>
      <c r="K120" s="21" t="s">
        <v>114</v>
      </c>
      <c r="L120" s="21"/>
      <c r="M120" s="12">
        <f>327137</f>
        <v>327137</v>
      </c>
      <c r="N120" s="12"/>
      <c r="O120" s="12">
        <f>163568.5</f>
        <v>163568.5</v>
      </c>
      <c r="P120" s="12"/>
      <c r="Q120" s="12"/>
      <c r="R120" s="12"/>
      <c r="S120" s="12"/>
      <c r="T120" s="50">
        <f>163568.5</f>
        <v>163568.5</v>
      </c>
      <c r="U120" s="50"/>
    </row>
    <row r="121" spans="1:21" s="1" customFormat="1" ht="13.5" customHeight="1">
      <c r="A121" s="14" t="s">
        <v>101</v>
      </c>
      <c r="B121" s="14"/>
      <c r="C121" s="14"/>
      <c r="D121" s="14"/>
      <c r="E121" s="14"/>
      <c r="F121" s="14"/>
      <c r="G121" s="15" t="s">
        <v>100</v>
      </c>
      <c r="H121" s="15"/>
      <c r="I121" s="15" t="s">
        <v>181</v>
      </c>
      <c r="J121" s="15"/>
      <c r="K121" s="21" t="s">
        <v>103</v>
      </c>
      <c r="L121" s="21"/>
      <c r="M121" s="12">
        <f>296000</f>
        <v>296000</v>
      </c>
      <c r="N121" s="12"/>
      <c r="O121" s="12">
        <f>102473.58</f>
        <v>102473.58</v>
      </c>
      <c r="P121" s="12"/>
      <c r="Q121" s="12"/>
      <c r="R121" s="12"/>
      <c r="S121" s="12"/>
      <c r="T121" s="50">
        <f>193526.42</f>
        <v>193526.42</v>
      </c>
      <c r="U121" s="50"/>
    </row>
    <row r="122" spans="1:21" s="1" customFormat="1" ht="13.5" customHeight="1">
      <c r="A122" s="14" t="s">
        <v>108</v>
      </c>
      <c r="B122" s="14"/>
      <c r="C122" s="14"/>
      <c r="D122" s="14"/>
      <c r="E122" s="14"/>
      <c r="F122" s="14"/>
      <c r="G122" s="15" t="s">
        <v>100</v>
      </c>
      <c r="H122" s="15"/>
      <c r="I122" s="15" t="s">
        <v>182</v>
      </c>
      <c r="J122" s="15"/>
      <c r="K122" s="21" t="s">
        <v>110</v>
      </c>
      <c r="L122" s="21"/>
      <c r="M122" s="12">
        <f>113800</f>
        <v>113800</v>
      </c>
      <c r="N122" s="12"/>
      <c r="O122" s="17" t="s">
        <v>118</v>
      </c>
      <c r="P122" s="17"/>
      <c r="Q122" s="17"/>
      <c r="R122" s="17"/>
      <c r="S122" s="17"/>
      <c r="T122" s="50">
        <f>113800</f>
        <v>113800</v>
      </c>
      <c r="U122" s="50"/>
    </row>
    <row r="123" spans="1:21" s="1" customFormat="1" ht="13.5" customHeight="1">
      <c r="A123" s="14" t="s">
        <v>104</v>
      </c>
      <c r="B123" s="14"/>
      <c r="C123" s="14"/>
      <c r="D123" s="14"/>
      <c r="E123" s="14"/>
      <c r="F123" s="14"/>
      <c r="G123" s="15" t="s">
        <v>100</v>
      </c>
      <c r="H123" s="15"/>
      <c r="I123" s="15" t="s">
        <v>183</v>
      </c>
      <c r="J123" s="15"/>
      <c r="K123" s="21" t="s">
        <v>106</v>
      </c>
      <c r="L123" s="21"/>
      <c r="M123" s="12">
        <f>89400</f>
        <v>89400</v>
      </c>
      <c r="N123" s="12"/>
      <c r="O123" s="12">
        <f>26674.23</f>
        <v>26674.23</v>
      </c>
      <c r="P123" s="12"/>
      <c r="Q123" s="12"/>
      <c r="R123" s="12"/>
      <c r="S123" s="12"/>
      <c r="T123" s="50">
        <f>62725.77</f>
        <v>62725.77</v>
      </c>
      <c r="U123" s="50"/>
    </row>
    <row r="124" spans="1:21" s="1" customFormat="1" ht="13.5" customHeight="1">
      <c r="A124" s="14" t="s">
        <v>129</v>
      </c>
      <c r="B124" s="14"/>
      <c r="C124" s="14"/>
      <c r="D124" s="14"/>
      <c r="E124" s="14"/>
      <c r="F124" s="14"/>
      <c r="G124" s="15" t="s">
        <v>100</v>
      </c>
      <c r="H124" s="15"/>
      <c r="I124" s="15" t="s">
        <v>184</v>
      </c>
      <c r="J124" s="15"/>
      <c r="K124" s="21" t="s">
        <v>130</v>
      </c>
      <c r="L124" s="21"/>
      <c r="M124" s="12">
        <f>30000</f>
        <v>30000</v>
      </c>
      <c r="N124" s="12"/>
      <c r="O124" s="17" t="s">
        <v>118</v>
      </c>
      <c r="P124" s="17"/>
      <c r="Q124" s="17"/>
      <c r="R124" s="17"/>
      <c r="S124" s="17"/>
      <c r="T124" s="50">
        <f>30000</f>
        <v>30000</v>
      </c>
      <c r="U124" s="50"/>
    </row>
    <row r="125" spans="1:21" s="1" customFormat="1" ht="13.5" customHeight="1">
      <c r="A125" s="14" t="s">
        <v>131</v>
      </c>
      <c r="B125" s="14"/>
      <c r="C125" s="14"/>
      <c r="D125" s="14"/>
      <c r="E125" s="14"/>
      <c r="F125" s="14"/>
      <c r="G125" s="15" t="s">
        <v>100</v>
      </c>
      <c r="H125" s="15"/>
      <c r="I125" s="15" t="s">
        <v>184</v>
      </c>
      <c r="J125" s="15"/>
      <c r="K125" s="21" t="s">
        <v>132</v>
      </c>
      <c r="L125" s="21"/>
      <c r="M125" s="12">
        <f>15000</f>
        <v>15000</v>
      </c>
      <c r="N125" s="12"/>
      <c r="O125" s="12">
        <f>13958</f>
        <v>13958</v>
      </c>
      <c r="P125" s="12"/>
      <c r="Q125" s="12"/>
      <c r="R125" s="12"/>
      <c r="S125" s="12"/>
      <c r="T125" s="50">
        <f>1042</f>
        <v>1042</v>
      </c>
      <c r="U125" s="50"/>
    </row>
    <row r="126" spans="1:21" s="1" customFormat="1" ht="13.5" customHeight="1">
      <c r="A126" s="14" t="s">
        <v>115</v>
      </c>
      <c r="B126" s="14"/>
      <c r="C126" s="14"/>
      <c r="D126" s="14"/>
      <c r="E126" s="14"/>
      <c r="F126" s="14"/>
      <c r="G126" s="15" t="s">
        <v>100</v>
      </c>
      <c r="H126" s="15"/>
      <c r="I126" s="15" t="s">
        <v>185</v>
      </c>
      <c r="J126" s="15"/>
      <c r="K126" s="21" t="s">
        <v>117</v>
      </c>
      <c r="L126" s="21"/>
      <c r="M126" s="12">
        <f>3100</f>
        <v>3100</v>
      </c>
      <c r="N126" s="12"/>
      <c r="O126" s="12">
        <f>2475</f>
        <v>2475</v>
      </c>
      <c r="P126" s="12"/>
      <c r="Q126" s="12"/>
      <c r="R126" s="12"/>
      <c r="S126" s="12"/>
      <c r="T126" s="50">
        <f>625</f>
        <v>625</v>
      </c>
      <c r="U126" s="50"/>
    </row>
    <row r="127" spans="1:21" s="1" customFormat="1" ht="13.5" customHeight="1">
      <c r="A127" s="14" t="s">
        <v>131</v>
      </c>
      <c r="B127" s="14"/>
      <c r="C127" s="14"/>
      <c r="D127" s="14"/>
      <c r="E127" s="14"/>
      <c r="F127" s="14"/>
      <c r="G127" s="15" t="s">
        <v>100</v>
      </c>
      <c r="H127" s="15"/>
      <c r="I127" s="15" t="s">
        <v>185</v>
      </c>
      <c r="J127" s="15"/>
      <c r="K127" s="21" t="s">
        <v>132</v>
      </c>
      <c r="L127" s="21"/>
      <c r="M127" s="12">
        <f>5000</f>
        <v>5000</v>
      </c>
      <c r="N127" s="12"/>
      <c r="O127" s="12">
        <f>1535</f>
        <v>1535</v>
      </c>
      <c r="P127" s="12"/>
      <c r="Q127" s="12"/>
      <c r="R127" s="12"/>
      <c r="S127" s="12"/>
      <c r="T127" s="50">
        <f>3465</f>
        <v>3465</v>
      </c>
      <c r="U127" s="50"/>
    </row>
    <row r="128" spans="1:21" s="1" customFormat="1" ht="13.5" customHeight="1">
      <c r="A128" s="14" t="s">
        <v>115</v>
      </c>
      <c r="B128" s="14"/>
      <c r="C128" s="14"/>
      <c r="D128" s="14"/>
      <c r="E128" s="14"/>
      <c r="F128" s="14"/>
      <c r="G128" s="15" t="s">
        <v>100</v>
      </c>
      <c r="H128" s="15"/>
      <c r="I128" s="15" t="s">
        <v>186</v>
      </c>
      <c r="J128" s="15"/>
      <c r="K128" s="21" t="s">
        <v>117</v>
      </c>
      <c r="L128" s="21"/>
      <c r="M128" s="12">
        <f>53700</f>
        <v>53700</v>
      </c>
      <c r="N128" s="12"/>
      <c r="O128" s="12">
        <f>16882.95</f>
        <v>16882.95</v>
      </c>
      <c r="P128" s="12"/>
      <c r="Q128" s="12"/>
      <c r="R128" s="12"/>
      <c r="S128" s="12"/>
      <c r="T128" s="50">
        <f>36817.05</f>
        <v>36817.05</v>
      </c>
      <c r="U128" s="50"/>
    </row>
    <row r="129" spans="1:21" s="1" customFormat="1" ht="13.5" customHeight="1">
      <c r="A129" s="14" t="s">
        <v>131</v>
      </c>
      <c r="B129" s="14"/>
      <c r="C129" s="14"/>
      <c r="D129" s="14"/>
      <c r="E129" s="14"/>
      <c r="F129" s="14"/>
      <c r="G129" s="15" t="s">
        <v>100</v>
      </c>
      <c r="H129" s="15"/>
      <c r="I129" s="15" t="s">
        <v>187</v>
      </c>
      <c r="J129" s="15"/>
      <c r="K129" s="21" t="s">
        <v>132</v>
      </c>
      <c r="L129" s="21"/>
      <c r="M129" s="12">
        <f>1000</f>
        <v>1000</v>
      </c>
      <c r="N129" s="12"/>
      <c r="O129" s="17" t="s">
        <v>118</v>
      </c>
      <c r="P129" s="17"/>
      <c r="Q129" s="17"/>
      <c r="R129" s="17"/>
      <c r="S129" s="17"/>
      <c r="T129" s="50">
        <f>1000</f>
        <v>1000</v>
      </c>
      <c r="U129" s="50"/>
    </row>
    <row r="130" spans="1:21" s="1" customFormat="1" ht="13.5" customHeight="1">
      <c r="A130" s="14" t="s">
        <v>131</v>
      </c>
      <c r="B130" s="14"/>
      <c r="C130" s="14"/>
      <c r="D130" s="14"/>
      <c r="E130" s="14"/>
      <c r="F130" s="14"/>
      <c r="G130" s="15" t="s">
        <v>100</v>
      </c>
      <c r="H130" s="15"/>
      <c r="I130" s="15" t="s">
        <v>188</v>
      </c>
      <c r="J130" s="15"/>
      <c r="K130" s="21" t="s">
        <v>132</v>
      </c>
      <c r="L130" s="21"/>
      <c r="M130" s="12">
        <f>19700</f>
        <v>19700</v>
      </c>
      <c r="N130" s="12"/>
      <c r="O130" s="17" t="s">
        <v>118</v>
      </c>
      <c r="P130" s="17"/>
      <c r="Q130" s="17"/>
      <c r="R130" s="17"/>
      <c r="S130" s="17"/>
      <c r="T130" s="50">
        <f>19700</f>
        <v>19700</v>
      </c>
      <c r="U130" s="50"/>
    </row>
    <row r="131" spans="1:21" s="1" customFormat="1" ht="13.5" customHeight="1">
      <c r="A131" s="14" t="s">
        <v>131</v>
      </c>
      <c r="B131" s="14"/>
      <c r="C131" s="14"/>
      <c r="D131" s="14"/>
      <c r="E131" s="14"/>
      <c r="F131" s="14"/>
      <c r="G131" s="15" t="s">
        <v>100</v>
      </c>
      <c r="H131" s="15"/>
      <c r="I131" s="15" t="s">
        <v>189</v>
      </c>
      <c r="J131" s="15"/>
      <c r="K131" s="21" t="s">
        <v>132</v>
      </c>
      <c r="L131" s="21"/>
      <c r="M131" s="12">
        <f>43600</f>
        <v>43600</v>
      </c>
      <c r="N131" s="12"/>
      <c r="O131" s="12">
        <f>11050</f>
        <v>11050</v>
      </c>
      <c r="P131" s="12"/>
      <c r="Q131" s="12"/>
      <c r="R131" s="12"/>
      <c r="S131" s="12"/>
      <c r="T131" s="50">
        <f>32550</f>
        <v>32550</v>
      </c>
      <c r="U131" s="50"/>
    </row>
    <row r="132" spans="1:21" s="1" customFormat="1" ht="13.5" customHeight="1">
      <c r="A132" s="14" t="s">
        <v>101</v>
      </c>
      <c r="B132" s="14"/>
      <c r="C132" s="14"/>
      <c r="D132" s="14"/>
      <c r="E132" s="14"/>
      <c r="F132" s="14"/>
      <c r="G132" s="15" t="s">
        <v>100</v>
      </c>
      <c r="H132" s="15"/>
      <c r="I132" s="15" t="s">
        <v>190</v>
      </c>
      <c r="J132" s="15"/>
      <c r="K132" s="21" t="s">
        <v>103</v>
      </c>
      <c r="L132" s="21"/>
      <c r="M132" s="12">
        <f>2768800</f>
        <v>2768800</v>
      </c>
      <c r="N132" s="12"/>
      <c r="O132" s="12">
        <f>1394601.03</f>
        <v>1394601.03</v>
      </c>
      <c r="P132" s="12"/>
      <c r="Q132" s="12"/>
      <c r="R132" s="12"/>
      <c r="S132" s="12"/>
      <c r="T132" s="50">
        <f>1374198.97</f>
        <v>1374198.97</v>
      </c>
      <c r="U132" s="50"/>
    </row>
    <row r="133" spans="1:21" s="1" customFormat="1" ht="13.5" customHeight="1">
      <c r="A133" s="14" t="s">
        <v>108</v>
      </c>
      <c r="B133" s="14"/>
      <c r="C133" s="14"/>
      <c r="D133" s="14"/>
      <c r="E133" s="14"/>
      <c r="F133" s="14"/>
      <c r="G133" s="15" t="s">
        <v>100</v>
      </c>
      <c r="H133" s="15"/>
      <c r="I133" s="15" t="s">
        <v>191</v>
      </c>
      <c r="J133" s="15"/>
      <c r="K133" s="21" t="s">
        <v>110</v>
      </c>
      <c r="L133" s="21"/>
      <c r="M133" s="12">
        <f>297600</f>
        <v>297600</v>
      </c>
      <c r="N133" s="12"/>
      <c r="O133" s="12">
        <f>2774</f>
        <v>2774</v>
      </c>
      <c r="P133" s="12"/>
      <c r="Q133" s="12"/>
      <c r="R133" s="12"/>
      <c r="S133" s="12"/>
      <c r="T133" s="50">
        <f>294826</f>
        <v>294826</v>
      </c>
      <c r="U133" s="50"/>
    </row>
    <row r="134" spans="1:21" s="1" customFormat="1" ht="13.5" customHeight="1">
      <c r="A134" s="14" t="s">
        <v>104</v>
      </c>
      <c r="B134" s="14"/>
      <c r="C134" s="14"/>
      <c r="D134" s="14"/>
      <c r="E134" s="14"/>
      <c r="F134" s="14"/>
      <c r="G134" s="15" t="s">
        <v>100</v>
      </c>
      <c r="H134" s="15"/>
      <c r="I134" s="15" t="s">
        <v>192</v>
      </c>
      <c r="J134" s="15"/>
      <c r="K134" s="21" t="s">
        <v>106</v>
      </c>
      <c r="L134" s="21"/>
      <c r="M134" s="12">
        <f>836200</f>
        <v>836200</v>
      </c>
      <c r="N134" s="12"/>
      <c r="O134" s="12">
        <f>374810</f>
        <v>374810</v>
      </c>
      <c r="P134" s="12"/>
      <c r="Q134" s="12"/>
      <c r="R134" s="12"/>
      <c r="S134" s="12"/>
      <c r="T134" s="50">
        <f>461390</f>
        <v>461390</v>
      </c>
      <c r="U134" s="50"/>
    </row>
    <row r="135" spans="1:21" s="1" customFormat="1" ht="13.5" customHeight="1">
      <c r="A135" s="14" t="s">
        <v>122</v>
      </c>
      <c r="B135" s="14"/>
      <c r="C135" s="14"/>
      <c r="D135" s="14"/>
      <c r="E135" s="14"/>
      <c r="F135" s="14"/>
      <c r="G135" s="15" t="s">
        <v>100</v>
      </c>
      <c r="H135" s="15"/>
      <c r="I135" s="15" t="s">
        <v>193</v>
      </c>
      <c r="J135" s="15"/>
      <c r="K135" s="21" t="s">
        <v>124</v>
      </c>
      <c r="L135" s="21"/>
      <c r="M135" s="12">
        <f>60512.1</f>
        <v>60512.1</v>
      </c>
      <c r="N135" s="12"/>
      <c r="O135" s="12">
        <f>16426.64</f>
        <v>16426.64</v>
      </c>
      <c r="P135" s="12"/>
      <c r="Q135" s="12"/>
      <c r="R135" s="12"/>
      <c r="S135" s="12"/>
      <c r="T135" s="50">
        <f>44085.46</f>
        <v>44085.46</v>
      </c>
      <c r="U135" s="50"/>
    </row>
    <row r="136" spans="1:21" s="1" customFormat="1" ht="13.5" customHeight="1">
      <c r="A136" s="14" t="s">
        <v>119</v>
      </c>
      <c r="B136" s="14"/>
      <c r="C136" s="14"/>
      <c r="D136" s="14"/>
      <c r="E136" s="14"/>
      <c r="F136" s="14"/>
      <c r="G136" s="15" t="s">
        <v>100</v>
      </c>
      <c r="H136" s="15"/>
      <c r="I136" s="15" t="s">
        <v>193</v>
      </c>
      <c r="J136" s="15"/>
      <c r="K136" s="21" t="s">
        <v>121</v>
      </c>
      <c r="L136" s="21"/>
      <c r="M136" s="12">
        <f>6900</f>
        <v>6900</v>
      </c>
      <c r="N136" s="12"/>
      <c r="O136" s="17" t="s">
        <v>118</v>
      </c>
      <c r="P136" s="17"/>
      <c r="Q136" s="17"/>
      <c r="R136" s="17"/>
      <c r="S136" s="17"/>
      <c r="T136" s="50">
        <f>6900</f>
        <v>6900</v>
      </c>
      <c r="U136" s="50"/>
    </row>
    <row r="137" spans="1:21" s="1" customFormat="1" ht="13.5" customHeight="1">
      <c r="A137" s="14" t="s">
        <v>122</v>
      </c>
      <c r="B137" s="14"/>
      <c r="C137" s="14"/>
      <c r="D137" s="14"/>
      <c r="E137" s="14"/>
      <c r="F137" s="14"/>
      <c r="G137" s="15" t="s">
        <v>100</v>
      </c>
      <c r="H137" s="15"/>
      <c r="I137" s="15" t="s">
        <v>194</v>
      </c>
      <c r="J137" s="15"/>
      <c r="K137" s="21" t="s">
        <v>124</v>
      </c>
      <c r="L137" s="21"/>
      <c r="M137" s="12">
        <f>1000</f>
        <v>1000</v>
      </c>
      <c r="N137" s="12"/>
      <c r="O137" s="17" t="s">
        <v>118</v>
      </c>
      <c r="P137" s="17"/>
      <c r="Q137" s="17"/>
      <c r="R137" s="17"/>
      <c r="S137" s="17"/>
      <c r="T137" s="50">
        <f>1000</f>
        <v>1000</v>
      </c>
      <c r="U137" s="50"/>
    </row>
    <row r="138" spans="1:21" s="1" customFormat="1" ht="13.5" customHeight="1">
      <c r="A138" s="14" t="s">
        <v>125</v>
      </c>
      <c r="B138" s="14"/>
      <c r="C138" s="14"/>
      <c r="D138" s="14"/>
      <c r="E138" s="14"/>
      <c r="F138" s="14"/>
      <c r="G138" s="15" t="s">
        <v>100</v>
      </c>
      <c r="H138" s="15"/>
      <c r="I138" s="15" t="s">
        <v>194</v>
      </c>
      <c r="J138" s="15"/>
      <c r="K138" s="21" t="s">
        <v>126</v>
      </c>
      <c r="L138" s="21"/>
      <c r="M138" s="12">
        <f>668335.19</f>
        <v>668335.19</v>
      </c>
      <c r="N138" s="12"/>
      <c r="O138" s="12">
        <f>362884.04</f>
        <v>362884.04</v>
      </c>
      <c r="P138" s="12"/>
      <c r="Q138" s="12"/>
      <c r="R138" s="12"/>
      <c r="S138" s="12"/>
      <c r="T138" s="50">
        <f>305451.15</f>
        <v>305451.15</v>
      </c>
      <c r="U138" s="50"/>
    </row>
    <row r="139" spans="1:21" s="1" customFormat="1" ht="13.5" customHeight="1">
      <c r="A139" s="14" t="s">
        <v>127</v>
      </c>
      <c r="B139" s="14"/>
      <c r="C139" s="14"/>
      <c r="D139" s="14"/>
      <c r="E139" s="14"/>
      <c r="F139" s="14"/>
      <c r="G139" s="15" t="s">
        <v>100</v>
      </c>
      <c r="H139" s="15"/>
      <c r="I139" s="15" t="s">
        <v>194</v>
      </c>
      <c r="J139" s="15"/>
      <c r="K139" s="21" t="s">
        <v>128</v>
      </c>
      <c r="L139" s="21"/>
      <c r="M139" s="12">
        <f>113400</f>
        <v>113400</v>
      </c>
      <c r="N139" s="12"/>
      <c r="O139" s="12">
        <f>6837.5</f>
        <v>6837.5</v>
      </c>
      <c r="P139" s="12"/>
      <c r="Q139" s="12"/>
      <c r="R139" s="12"/>
      <c r="S139" s="12"/>
      <c r="T139" s="50">
        <f>106562.5</f>
        <v>106562.5</v>
      </c>
      <c r="U139" s="50"/>
    </row>
    <row r="140" spans="1:21" s="1" customFormat="1" ht="13.5" customHeight="1">
      <c r="A140" s="14" t="s">
        <v>119</v>
      </c>
      <c r="B140" s="14"/>
      <c r="C140" s="14"/>
      <c r="D140" s="14"/>
      <c r="E140" s="14"/>
      <c r="F140" s="14"/>
      <c r="G140" s="15" t="s">
        <v>100</v>
      </c>
      <c r="H140" s="15"/>
      <c r="I140" s="15" t="s">
        <v>194</v>
      </c>
      <c r="J140" s="15"/>
      <c r="K140" s="21" t="s">
        <v>121</v>
      </c>
      <c r="L140" s="21"/>
      <c r="M140" s="12">
        <f>147500</f>
        <v>147500</v>
      </c>
      <c r="N140" s="12"/>
      <c r="O140" s="12">
        <f>7077</f>
        <v>7077</v>
      </c>
      <c r="P140" s="12"/>
      <c r="Q140" s="12"/>
      <c r="R140" s="12"/>
      <c r="S140" s="12"/>
      <c r="T140" s="50">
        <f>140423</f>
        <v>140423</v>
      </c>
      <c r="U140" s="50"/>
    </row>
    <row r="141" spans="1:21" s="1" customFormat="1" ht="13.5" customHeight="1">
      <c r="A141" s="14" t="s">
        <v>129</v>
      </c>
      <c r="B141" s="14"/>
      <c r="C141" s="14"/>
      <c r="D141" s="14"/>
      <c r="E141" s="14"/>
      <c r="F141" s="14"/>
      <c r="G141" s="15" t="s">
        <v>100</v>
      </c>
      <c r="H141" s="15"/>
      <c r="I141" s="15" t="s">
        <v>194</v>
      </c>
      <c r="J141" s="15"/>
      <c r="K141" s="21" t="s">
        <v>130</v>
      </c>
      <c r="L141" s="21"/>
      <c r="M141" s="12">
        <f>100000</f>
        <v>100000</v>
      </c>
      <c r="N141" s="12"/>
      <c r="O141" s="12">
        <f>31413</f>
        <v>31413</v>
      </c>
      <c r="P141" s="12"/>
      <c r="Q141" s="12"/>
      <c r="R141" s="12"/>
      <c r="S141" s="12"/>
      <c r="T141" s="50">
        <f>68587</f>
        <v>68587</v>
      </c>
      <c r="U141" s="50"/>
    </row>
    <row r="142" spans="1:21" s="1" customFormat="1" ht="13.5" customHeight="1">
      <c r="A142" s="14" t="s">
        <v>131</v>
      </c>
      <c r="B142" s="14"/>
      <c r="C142" s="14"/>
      <c r="D142" s="14"/>
      <c r="E142" s="14"/>
      <c r="F142" s="14"/>
      <c r="G142" s="15" t="s">
        <v>100</v>
      </c>
      <c r="H142" s="15"/>
      <c r="I142" s="15" t="s">
        <v>194</v>
      </c>
      <c r="J142" s="15"/>
      <c r="K142" s="21" t="s">
        <v>132</v>
      </c>
      <c r="L142" s="21"/>
      <c r="M142" s="12">
        <f>139650</f>
        <v>139650</v>
      </c>
      <c r="N142" s="12"/>
      <c r="O142" s="12">
        <f>17022.15</f>
        <v>17022.15</v>
      </c>
      <c r="P142" s="12"/>
      <c r="Q142" s="12"/>
      <c r="R142" s="12"/>
      <c r="S142" s="12"/>
      <c r="T142" s="50">
        <f>122627.85</f>
        <v>122627.85</v>
      </c>
      <c r="U142" s="50"/>
    </row>
    <row r="143" spans="1:21" s="1" customFormat="1" ht="13.5" customHeight="1">
      <c r="A143" s="14" t="s">
        <v>115</v>
      </c>
      <c r="B143" s="14"/>
      <c r="C143" s="14"/>
      <c r="D143" s="14"/>
      <c r="E143" s="14"/>
      <c r="F143" s="14"/>
      <c r="G143" s="15" t="s">
        <v>100</v>
      </c>
      <c r="H143" s="15"/>
      <c r="I143" s="15" t="s">
        <v>195</v>
      </c>
      <c r="J143" s="15"/>
      <c r="K143" s="21" t="s">
        <v>117</v>
      </c>
      <c r="L143" s="21"/>
      <c r="M143" s="12">
        <f>18000</f>
        <v>18000</v>
      </c>
      <c r="N143" s="12"/>
      <c r="O143" s="12">
        <f>9984</f>
        <v>9984</v>
      </c>
      <c r="P143" s="12"/>
      <c r="Q143" s="12"/>
      <c r="R143" s="12"/>
      <c r="S143" s="12"/>
      <c r="T143" s="50">
        <f>8016</f>
        <v>8016</v>
      </c>
      <c r="U143" s="50"/>
    </row>
    <row r="144" spans="1:21" s="1" customFormat="1" ht="13.5" customHeight="1">
      <c r="A144" s="14" t="s">
        <v>115</v>
      </c>
      <c r="B144" s="14"/>
      <c r="C144" s="14"/>
      <c r="D144" s="14"/>
      <c r="E144" s="14"/>
      <c r="F144" s="14"/>
      <c r="G144" s="15" t="s">
        <v>100</v>
      </c>
      <c r="H144" s="15"/>
      <c r="I144" s="15" t="s">
        <v>196</v>
      </c>
      <c r="J144" s="15"/>
      <c r="K144" s="21" t="s">
        <v>117</v>
      </c>
      <c r="L144" s="21"/>
      <c r="M144" s="12">
        <f>12000</f>
        <v>12000</v>
      </c>
      <c r="N144" s="12"/>
      <c r="O144" s="17" t="s">
        <v>118</v>
      </c>
      <c r="P144" s="17"/>
      <c r="Q144" s="17"/>
      <c r="R144" s="17"/>
      <c r="S144" s="17"/>
      <c r="T144" s="50">
        <f>12000</f>
        <v>12000</v>
      </c>
      <c r="U144" s="50"/>
    </row>
    <row r="145" spans="1:21" s="1" customFormat="1" ht="13.5" customHeight="1">
      <c r="A145" s="14" t="s">
        <v>101</v>
      </c>
      <c r="B145" s="14"/>
      <c r="C145" s="14"/>
      <c r="D145" s="14"/>
      <c r="E145" s="14"/>
      <c r="F145" s="14"/>
      <c r="G145" s="15" t="s">
        <v>100</v>
      </c>
      <c r="H145" s="15"/>
      <c r="I145" s="15" t="s">
        <v>197</v>
      </c>
      <c r="J145" s="15"/>
      <c r="K145" s="21" t="s">
        <v>103</v>
      </c>
      <c r="L145" s="21"/>
      <c r="M145" s="12">
        <f>323390</f>
        <v>323390</v>
      </c>
      <c r="N145" s="12"/>
      <c r="O145" s="12">
        <f>80498.39</f>
        <v>80498.39</v>
      </c>
      <c r="P145" s="12"/>
      <c r="Q145" s="12"/>
      <c r="R145" s="12"/>
      <c r="S145" s="12"/>
      <c r="T145" s="50">
        <f>242891.61</f>
        <v>242891.61</v>
      </c>
      <c r="U145" s="50"/>
    </row>
    <row r="146" spans="1:21" s="1" customFormat="1" ht="13.5" customHeight="1">
      <c r="A146" s="14" t="s">
        <v>104</v>
      </c>
      <c r="B146" s="14"/>
      <c r="C146" s="14"/>
      <c r="D146" s="14"/>
      <c r="E146" s="14"/>
      <c r="F146" s="14"/>
      <c r="G146" s="15" t="s">
        <v>100</v>
      </c>
      <c r="H146" s="15"/>
      <c r="I146" s="15" t="s">
        <v>198</v>
      </c>
      <c r="J146" s="15"/>
      <c r="K146" s="21" t="s">
        <v>106</v>
      </c>
      <c r="L146" s="21"/>
      <c r="M146" s="12">
        <f>97610</f>
        <v>97610</v>
      </c>
      <c r="N146" s="12"/>
      <c r="O146" s="17" t="s">
        <v>118</v>
      </c>
      <c r="P146" s="17"/>
      <c r="Q146" s="17"/>
      <c r="R146" s="17"/>
      <c r="S146" s="17"/>
      <c r="T146" s="50">
        <f>97610</f>
        <v>97610</v>
      </c>
      <c r="U146" s="50"/>
    </row>
    <row r="147" spans="1:21" s="1" customFormat="1" ht="13.5" customHeight="1">
      <c r="A147" s="14" t="s">
        <v>101</v>
      </c>
      <c r="B147" s="14"/>
      <c r="C147" s="14"/>
      <c r="D147" s="14"/>
      <c r="E147" s="14"/>
      <c r="F147" s="14"/>
      <c r="G147" s="15" t="s">
        <v>100</v>
      </c>
      <c r="H147" s="15"/>
      <c r="I147" s="15" t="s">
        <v>199</v>
      </c>
      <c r="J147" s="15"/>
      <c r="K147" s="21" t="s">
        <v>103</v>
      </c>
      <c r="L147" s="21"/>
      <c r="M147" s="12">
        <f>17100</f>
        <v>17100</v>
      </c>
      <c r="N147" s="12"/>
      <c r="O147" s="12">
        <f>4262.67</f>
        <v>4262.67</v>
      </c>
      <c r="P147" s="12"/>
      <c r="Q147" s="12"/>
      <c r="R147" s="12"/>
      <c r="S147" s="12"/>
      <c r="T147" s="50">
        <f>12837.33</f>
        <v>12837.33</v>
      </c>
      <c r="U147" s="50"/>
    </row>
    <row r="148" spans="1:21" s="1" customFormat="1" ht="13.5" customHeight="1">
      <c r="A148" s="14" t="s">
        <v>104</v>
      </c>
      <c r="B148" s="14"/>
      <c r="C148" s="14"/>
      <c r="D148" s="14"/>
      <c r="E148" s="14"/>
      <c r="F148" s="14"/>
      <c r="G148" s="15" t="s">
        <v>100</v>
      </c>
      <c r="H148" s="15"/>
      <c r="I148" s="15" t="s">
        <v>200</v>
      </c>
      <c r="J148" s="15"/>
      <c r="K148" s="21" t="s">
        <v>106</v>
      </c>
      <c r="L148" s="21"/>
      <c r="M148" s="12">
        <f>5100</f>
        <v>5100</v>
      </c>
      <c r="N148" s="12"/>
      <c r="O148" s="17" t="s">
        <v>118</v>
      </c>
      <c r="P148" s="17"/>
      <c r="Q148" s="17"/>
      <c r="R148" s="17"/>
      <c r="S148" s="17"/>
      <c r="T148" s="50">
        <f>5100</f>
        <v>5100</v>
      </c>
      <c r="U148" s="50"/>
    </row>
    <row r="149" spans="1:21" s="1" customFormat="1" ht="13.5" customHeight="1">
      <c r="A149" s="14" t="s">
        <v>115</v>
      </c>
      <c r="B149" s="14"/>
      <c r="C149" s="14"/>
      <c r="D149" s="14"/>
      <c r="E149" s="14"/>
      <c r="F149" s="14"/>
      <c r="G149" s="15" t="s">
        <v>100</v>
      </c>
      <c r="H149" s="15"/>
      <c r="I149" s="15" t="s">
        <v>201</v>
      </c>
      <c r="J149" s="15"/>
      <c r="K149" s="21" t="s">
        <v>117</v>
      </c>
      <c r="L149" s="21"/>
      <c r="M149" s="12">
        <f>58400</f>
        <v>58400</v>
      </c>
      <c r="N149" s="12"/>
      <c r="O149" s="12">
        <f>7392.3</f>
        <v>7392.3</v>
      </c>
      <c r="P149" s="12"/>
      <c r="Q149" s="12"/>
      <c r="R149" s="12"/>
      <c r="S149" s="12"/>
      <c r="T149" s="50">
        <f>51007.7</f>
        <v>51007.7</v>
      </c>
      <c r="U149" s="50"/>
    </row>
    <row r="150" spans="1:21" s="1" customFormat="1" ht="13.5" customHeight="1">
      <c r="A150" s="14" t="s">
        <v>202</v>
      </c>
      <c r="B150" s="14"/>
      <c r="C150" s="14"/>
      <c r="D150" s="14"/>
      <c r="E150" s="14"/>
      <c r="F150" s="14"/>
      <c r="G150" s="15" t="s">
        <v>100</v>
      </c>
      <c r="H150" s="15"/>
      <c r="I150" s="15" t="s">
        <v>203</v>
      </c>
      <c r="J150" s="15"/>
      <c r="K150" s="21" t="s">
        <v>204</v>
      </c>
      <c r="L150" s="21"/>
      <c r="M150" s="12">
        <f>20000</f>
        <v>20000</v>
      </c>
      <c r="N150" s="12"/>
      <c r="O150" s="12">
        <f>20000</f>
        <v>20000</v>
      </c>
      <c r="P150" s="12"/>
      <c r="Q150" s="12"/>
      <c r="R150" s="12"/>
      <c r="S150" s="12"/>
      <c r="T150" s="50">
        <f>0</f>
        <v>0</v>
      </c>
      <c r="U150" s="50"/>
    </row>
    <row r="151" spans="1:21" s="1" customFormat="1" ht="13.5" customHeight="1">
      <c r="A151" s="14" t="s">
        <v>115</v>
      </c>
      <c r="B151" s="14"/>
      <c r="C151" s="14"/>
      <c r="D151" s="14"/>
      <c r="E151" s="14"/>
      <c r="F151" s="14"/>
      <c r="G151" s="15" t="s">
        <v>100</v>
      </c>
      <c r="H151" s="15"/>
      <c r="I151" s="15" t="s">
        <v>203</v>
      </c>
      <c r="J151" s="15"/>
      <c r="K151" s="21" t="s">
        <v>117</v>
      </c>
      <c r="L151" s="21"/>
      <c r="M151" s="12">
        <f>333000</f>
        <v>333000</v>
      </c>
      <c r="N151" s="12"/>
      <c r="O151" s="12">
        <f>65851</f>
        <v>65851</v>
      </c>
      <c r="P151" s="12"/>
      <c r="Q151" s="12"/>
      <c r="R151" s="12"/>
      <c r="S151" s="12"/>
      <c r="T151" s="50">
        <f>267149</f>
        <v>267149</v>
      </c>
      <c r="U151" s="50"/>
    </row>
    <row r="152" spans="1:21" s="1" customFormat="1" ht="24" customHeight="1">
      <c r="A152" s="14" t="s">
        <v>205</v>
      </c>
      <c r="B152" s="14"/>
      <c r="C152" s="14"/>
      <c r="D152" s="14"/>
      <c r="E152" s="14"/>
      <c r="F152" s="14"/>
      <c r="G152" s="15" t="s">
        <v>100</v>
      </c>
      <c r="H152" s="15"/>
      <c r="I152" s="15" t="s">
        <v>206</v>
      </c>
      <c r="J152" s="15"/>
      <c r="K152" s="21" t="s">
        <v>207</v>
      </c>
      <c r="L152" s="21"/>
      <c r="M152" s="12">
        <f>180000</f>
        <v>180000</v>
      </c>
      <c r="N152" s="12"/>
      <c r="O152" s="12">
        <f>90000</f>
        <v>90000</v>
      </c>
      <c r="P152" s="12"/>
      <c r="Q152" s="12"/>
      <c r="R152" s="12"/>
      <c r="S152" s="12"/>
      <c r="T152" s="50">
        <f>90000</f>
        <v>90000</v>
      </c>
      <c r="U152" s="50"/>
    </row>
    <row r="153" spans="1:21" s="1" customFormat="1" ht="13.5" customHeight="1">
      <c r="A153" s="14" t="s">
        <v>131</v>
      </c>
      <c r="B153" s="14"/>
      <c r="C153" s="14"/>
      <c r="D153" s="14"/>
      <c r="E153" s="14"/>
      <c r="F153" s="14"/>
      <c r="G153" s="15" t="s">
        <v>100</v>
      </c>
      <c r="H153" s="15"/>
      <c r="I153" s="15" t="s">
        <v>208</v>
      </c>
      <c r="J153" s="15"/>
      <c r="K153" s="21" t="s">
        <v>132</v>
      </c>
      <c r="L153" s="21"/>
      <c r="M153" s="12">
        <f>48600</f>
        <v>48600</v>
      </c>
      <c r="N153" s="12"/>
      <c r="O153" s="12">
        <f>45960</f>
        <v>45960</v>
      </c>
      <c r="P153" s="12"/>
      <c r="Q153" s="12"/>
      <c r="R153" s="12"/>
      <c r="S153" s="12"/>
      <c r="T153" s="50">
        <f>2640</f>
        <v>2640</v>
      </c>
      <c r="U153" s="50"/>
    </row>
    <row r="154" spans="1:21" s="1" customFormat="1" ht="13.5" customHeight="1">
      <c r="A154" s="14" t="s">
        <v>127</v>
      </c>
      <c r="B154" s="14"/>
      <c r="C154" s="14"/>
      <c r="D154" s="14"/>
      <c r="E154" s="14"/>
      <c r="F154" s="14"/>
      <c r="G154" s="15" t="s">
        <v>100</v>
      </c>
      <c r="H154" s="15"/>
      <c r="I154" s="15" t="s">
        <v>209</v>
      </c>
      <c r="J154" s="15"/>
      <c r="K154" s="21" t="s">
        <v>128</v>
      </c>
      <c r="L154" s="21"/>
      <c r="M154" s="12">
        <f>17000</f>
        <v>17000</v>
      </c>
      <c r="N154" s="12"/>
      <c r="O154" s="17" t="s">
        <v>118</v>
      </c>
      <c r="P154" s="17"/>
      <c r="Q154" s="17"/>
      <c r="R154" s="17"/>
      <c r="S154" s="17"/>
      <c r="T154" s="50">
        <f>17000</f>
        <v>17000</v>
      </c>
      <c r="U154" s="50"/>
    </row>
    <row r="155" spans="1:21" s="1" customFormat="1" ht="13.5" customHeight="1">
      <c r="A155" s="14" t="s">
        <v>115</v>
      </c>
      <c r="B155" s="14"/>
      <c r="C155" s="14"/>
      <c r="D155" s="14"/>
      <c r="E155" s="14"/>
      <c r="F155" s="14"/>
      <c r="G155" s="15" t="s">
        <v>100</v>
      </c>
      <c r="H155" s="15"/>
      <c r="I155" s="15" t="s">
        <v>210</v>
      </c>
      <c r="J155" s="15"/>
      <c r="K155" s="21" t="s">
        <v>117</v>
      </c>
      <c r="L155" s="21"/>
      <c r="M155" s="12">
        <f>63200</f>
        <v>63200</v>
      </c>
      <c r="N155" s="12"/>
      <c r="O155" s="12">
        <f>16635.92</f>
        <v>16635.92</v>
      </c>
      <c r="P155" s="12"/>
      <c r="Q155" s="12"/>
      <c r="R155" s="12"/>
      <c r="S155" s="12"/>
      <c r="T155" s="50">
        <f>46564.08</f>
        <v>46564.08</v>
      </c>
      <c r="U155" s="50"/>
    </row>
    <row r="156" spans="1:21" s="1" customFormat="1" ht="13.5" customHeight="1">
      <c r="A156" s="14" t="s">
        <v>119</v>
      </c>
      <c r="B156" s="14"/>
      <c r="C156" s="14"/>
      <c r="D156" s="14"/>
      <c r="E156" s="14"/>
      <c r="F156" s="14"/>
      <c r="G156" s="15" t="s">
        <v>100</v>
      </c>
      <c r="H156" s="15"/>
      <c r="I156" s="15" t="s">
        <v>211</v>
      </c>
      <c r="J156" s="15"/>
      <c r="K156" s="21" t="s">
        <v>121</v>
      </c>
      <c r="L156" s="21"/>
      <c r="M156" s="12">
        <f>25000</f>
        <v>25000</v>
      </c>
      <c r="N156" s="12"/>
      <c r="O156" s="17" t="s">
        <v>118</v>
      </c>
      <c r="P156" s="17"/>
      <c r="Q156" s="17"/>
      <c r="R156" s="17"/>
      <c r="S156" s="17"/>
      <c r="T156" s="50">
        <f>25000</f>
        <v>25000</v>
      </c>
      <c r="U156" s="50"/>
    </row>
    <row r="157" spans="1:21" s="1" customFormat="1" ht="15" customHeight="1">
      <c r="A157" s="47" t="s">
        <v>212</v>
      </c>
      <c r="B157" s="47"/>
      <c r="C157" s="47"/>
      <c r="D157" s="47"/>
      <c r="E157" s="47"/>
      <c r="F157" s="47"/>
      <c r="G157" s="48" t="s">
        <v>213</v>
      </c>
      <c r="H157" s="48"/>
      <c r="I157" s="48" t="s">
        <v>38</v>
      </c>
      <c r="J157" s="48"/>
      <c r="K157" s="49" t="s">
        <v>38</v>
      </c>
      <c r="L157" s="49"/>
      <c r="M157" s="45">
        <f>-2270721.38</f>
        <v>-2270721.38</v>
      </c>
      <c r="N157" s="45"/>
      <c r="O157" s="45">
        <f>2289847.7</f>
        <v>2289847.7</v>
      </c>
      <c r="P157" s="45"/>
      <c r="Q157" s="45"/>
      <c r="R157" s="45"/>
      <c r="S157" s="45"/>
      <c r="T157" s="46" t="s">
        <v>38</v>
      </c>
      <c r="U157" s="46"/>
    </row>
    <row r="158" spans="1:21" s="1" customFormat="1" ht="13.5" customHeight="1">
      <c r="A158" s="10" t="s">
        <v>18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1" customFormat="1" ht="13.5" customHeight="1">
      <c r="A159" s="41" t="s">
        <v>214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1" customFormat="1" ht="45.75" customHeight="1">
      <c r="A160" s="42" t="s">
        <v>24</v>
      </c>
      <c r="B160" s="42"/>
      <c r="C160" s="42"/>
      <c r="D160" s="42"/>
      <c r="E160" s="42"/>
      <c r="F160" s="42"/>
      <c r="G160" s="42"/>
      <c r="H160" s="42" t="s">
        <v>25</v>
      </c>
      <c r="I160" s="42"/>
      <c r="J160" s="42" t="s">
        <v>215</v>
      </c>
      <c r="K160" s="42"/>
      <c r="L160" s="43" t="s">
        <v>27</v>
      </c>
      <c r="M160" s="43"/>
      <c r="N160" s="43" t="s">
        <v>28</v>
      </c>
      <c r="O160" s="43"/>
      <c r="P160" s="43"/>
      <c r="Q160" s="43"/>
      <c r="R160" s="43"/>
      <c r="S160" s="44" t="s">
        <v>29</v>
      </c>
      <c r="T160" s="44"/>
      <c r="U160" s="44"/>
    </row>
    <row r="161" spans="1:21" s="1" customFormat="1" ht="12.75" customHeight="1">
      <c r="A161" s="40" t="s">
        <v>30</v>
      </c>
      <c r="B161" s="40"/>
      <c r="C161" s="40"/>
      <c r="D161" s="40"/>
      <c r="E161" s="40"/>
      <c r="F161" s="40"/>
      <c r="G161" s="40"/>
      <c r="H161" s="40" t="s">
        <v>31</v>
      </c>
      <c r="I161" s="40"/>
      <c r="J161" s="40" t="s">
        <v>32</v>
      </c>
      <c r="K161" s="40"/>
      <c r="L161" s="33" t="s">
        <v>33</v>
      </c>
      <c r="M161" s="33"/>
      <c r="N161" s="33" t="s">
        <v>34</v>
      </c>
      <c r="O161" s="33"/>
      <c r="P161" s="33"/>
      <c r="Q161" s="33"/>
      <c r="R161" s="33"/>
      <c r="S161" s="34" t="s">
        <v>35</v>
      </c>
      <c r="T161" s="34"/>
      <c r="U161" s="34"/>
    </row>
    <row r="162" spans="1:21" s="1" customFormat="1" ht="13.5" customHeight="1">
      <c r="A162" s="35" t="s">
        <v>216</v>
      </c>
      <c r="B162" s="35"/>
      <c r="C162" s="35"/>
      <c r="D162" s="35"/>
      <c r="E162" s="35"/>
      <c r="F162" s="35"/>
      <c r="G162" s="35"/>
      <c r="H162" s="36" t="s">
        <v>217</v>
      </c>
      <c r="I162" s="36"/>
      <c r="J162" s="36" t="s">
        <v>38</v>
      </c>
      <c r="K162" s="36"/>
      <c r="L162" s="37">
        <f>2270721.38</f>
        <v>2270721.38</v>
      </c>
      <c r="M162" s="37"/>
      <c r="N162" s="38">
        <f>-2289847.7</f>
        <v>-2289847.7</v>
      </c>
      <c r="O162" s="38"/>
      <c r="P162" s="38"/>
      <c r="Q162" s="38"/>
      <c r="R162" s="38"/>
      <c r="S162" s="39" t="s">
        <v>38</v>
      </c>
      <c r="T162" s="39"/>
      <c r="U162" s="39"/>
    </row>
    <row r="163" spans="1:21" s="1" customFormat="1" ht="13.5" customHeight="1">
      <c r="A163" s="32" t="s">
        <v>218</v>
      </c>
      <c r="B163" s="32"/>
      <c r="C163" s="32"/>
      <c r="D163" s="32"/>
      <c r="E163" s="32"/>
      <c r="F163" s="32"/>
      <c r="G163" s="32"/>
      <c r="H163" s="22" t="s">
        <v>18</v>
      </c>
      <c r="I163" s="22"/>
      <c r="J163" s="22" t="s">
        <v>18</v>
      </c>
      <c r="K163" s="22"/>
      <c r="L163" s="23" t="s">
        <v>18</v>
      </c>
      <c r="M163" s="23"/>
      <c r="N163" s="25" t="s">
        <v>18</v>
      </c>
      <c r="O163" s="25"/>
      <c r="P163" s="25"/>
      <c r="Q163" s="25"/>
      <c r="R163" s="25"/>
      <c r="S163" s="24" t="s">
        <v>18</v>
      </c>
      <c r="T163" s="24"/>
      <c r="U163" s="24"/>
    </row>
    <row r="164" spans="1:21" s="1" customFormat="1" ht="13.5" customHeight="1">
      <c r="A164" s="26" t="s">
        <v>219</v>
      </c>
      <c r="B164" s="26"/>
      <c r="C164" s="26"/>
      <c r="D164" s="26"/>
      <c r="E164" s="26"/>
      <c r="F164" s="26"/>
      <c r="G164" s="26"/>
      <c r="H164" s="27" t="s">
        <v>220</v>
      </c>
      <c r="I164" s="27"/>
      <c r="J164" s="28" t="s">
        <v>38</v>
      </c>
      <c r="K164" s="28"/>
      <c r="L164" s="29" t="s">
        <v>118</v>
      </c>
      <c r="M164" s="29"/>
      <c r="N164" s="30" t="s">
        <v>118</v>
      </c>
      <c r="O164" s="30"/>
      <c r="P164" s="30"/>
      <c r="Q164" s="30"/>
      <c r="R164" s="30"/>
      <c r="S164" s="31" t="s">
        <v>118</v>
      </c>
      <c r="T164" s="31"/>
      <c r="U164" s="31"/>
    </row>
    <row r="165" spans="1:21" s="1" customFormat="1" ht="13.5" customHeight="1">
      <c r="A165" s="21" t="s">
        <v>18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1" customFormat="1" ht="13.5" customHeight="1">
      <c r="A166" s="14" t="s">
        <v>221</v>
      </c>
      <c r="B166" s="14"/>
      <c r="C166" s="14"/>
      <c r="D166" s="14"/>
      <c r="E166" s="14"/>
      <c r="F166" s="14"/>
      <c r="G166" s="14"/>
      <c r="H166" s="22" t="s">
        <v>222</v>
      </c>
      <c r="I166" s="22"/>
      <c r="J166" s="22" t="s">
        <v>38</v>
      </c>
      <c r="K166" s="22"/>
      <c r="L166" s="23" t="s">
        <v>118</v>
      </c>
      <c r="M166" s="23"/>
      <c r="N166" s="17" t="s">
        <v>118</v>
      </c>
      <c r="O166" s="17"/>
      <c r="P166" s="17"/>
      <c r="Q166" s="17"/>
      <c r="R166" s="17"/>
      <c r="S166" s="24" t="s">
        <v>118</v>
      </c>
      <c r="T166" s="24"/>
      <c r="U166" s="24"/>
    </row>
    <row r="167" spans="1:21" s="1" customFormat="1" ht="13.5" customHeight="1">
      <c r="A167" s="14" t="s">
        <v>18</v>
      </c>
      <c r="B167" s="14"/>
      <c r="C167" s="14"/>
      <c r="D167" s="14"/>
      <c r="E167" s="14"/>
      <c r="F167" s="14"/>
      <c r="G167" s="14"/>
      <c r="H167" s="15" t="s">
        <v>222</v>
      </c>
      <c r="I167" s="15"/>
      <c r="J167" s="15" t="s">
        <v>18</v>
      </c>
      <c r="K167" s="15"/>
      <c r="L167" s="20" t="s">
        <v>118</v>
      </c>
      <c r="M167" s="20"/>
      <c r="N167" s="17" t="s">
        <v>118</v>
      </c>
      <c r="O167" s="17"/>
      <c r="P167" s="17"/>
      <c r="Q167" s="17"/>
      <c r="R167" s="17"/>
      <c r="S167" s="18" t="s">
        <v>118</v>
      </c>
      <c r="T167" s="18"/>
      <c r="U167" s="18"/>
    </row>
    <row r="168" spans="1:21" s="1" customFormat="1" ht="13.5" customHeight="1">
      <c r="A168" s="14" t="s">
        <v>223</v>
      </c>
      <c r="B168" s="14"/>
      <c r="C168" s="14"/>
      <c r="D168" s="14"/>
      <c r="E168" s="14"/>
      <c r="F168" s="14"/>
      <c r="G168" s="14"/>
      <c r="H168" s="15" t="s">
        <v>224</v>
      </c>
      <c r="I168" s="15"/>
      <c r="J168" s="15" t="s">
        <v>225</v>
      </c>
      <c r="K168" s="15"/>
      <c r="L168" s="16">
        <f>2270721.38</f>
        <v>2270721.38</v>
      </c>
      <c r="M168" s="16"/>
      <c r="N168" s="12">
        <f>-2289847.7</f>
        <v>-2289847.7</v>
      </c>
      <c r="O168" s="12"/>
      <c r="P168" s="12"/>
      <c r="Q168" s="12"/>
      <c r="R168" s="12"/>
      <c r="S168" s="19">
        <f>4560569.08</f>
        <v>4560569.08</v>
      </c>
      <c r="T168" s="19"/>
      <c r="U168" s="19"/>
    </row>
    <row r="169" spans="1:21" s="1" customFormat="1" ht="13.5" customHeight="1">
      <c r="A169" s="14" t="s">
        <v>226</v>
      </c>
      <c r="B169" s="14"/>
      <c r="C169" s="14"/>
      <c r="D169" s="14"/>
      <c r="E169" s="14"/>
      <c r="F169" s="14"/>
      <c r="G169" s="14"/>
      <c r="H169" s="15" t="s">
        <v>227</v>
      </c>
      <c r="I169" s="15"/>
      <c r="J169" s="15" t="s">
        <v>228</v>
      </c>
      <c r="K169" s="15"/>
      <c r="L169" s="16">
        <f>-45322939.05</f>
        <v>-45322939.05</v>
      </c>
      <c r="M169" s="16"/>
      <c r="N169" s="12">
        <v>-21519327.02</v>
      </c>
      <c r="O169" s="12"/>
      <c r="P169" s="12"/>
      <c r="Q169" s="12"/>
      <c r="R169" s="12"/>
      <c r="S169" s="13" t="s">
        <v>38</v>
      </c>
      <c r="T169" s="13"/>
      <c r="U169" s="13"/>
    </row>
    <row r="170" spans="1:21" s="1" customFormat="1" ht="13.5" customHeight="1">
      <c r="A170" s="14" t="s">
        <v>229</v>
      </c>
      <c r="B170" s="14"/>
      <c r="C170" s="14"/>
      <c r="D170" s="14"/>
      <c r="E170" s="14"/>
      <c r="F170" s="14"/>
      <c r="G170" s="14"/>
      <c r="H170" s="15" t="s">
        <v>230</v>
      </c>
      <c r="I170" s="15"/>
      <c r="J170" s="15" t="s">
        <v>231</v>
      </c>
      <c r="K170" s="15"/>
      <c r="L170" s="16">
        <f>47593660.43</f>
        <v>47593660.43</v>
      </c>
      <c r="M170" s="16"/>
      <c r="N170" s="12">
        <v>19229479.32</v>
      </c>
      <c r="O170" s="12"/>
      <c r="P170" s="12"/>
      <c r="Q170" s="12"/>
      <c r="R170" s="12"/>
      <c r="S170" s="13" t="s">
        <v>38</v>
      </c>
      <c r="T170" s="13"/>
      <c r="U170" s="13"/>
    </row>
    <row r="171" spans="1:21" s="1" customFormat="1" ht="13.5" customHeight="1">
      <c r="A171" s="9" t="s">
        <v>18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5.75" customHeight="1">
      <c r="A172" s="10" t="s">
        <v>18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1" customFormat="1" ht="13.5" customHeight="1">
      <c r="A173" s="11"/>
      <c r="B173" s="11"/>
      <c r="C173" s="11"/>
      <c r="D173" s="11"/>
      <c r="E173" s="11"/>
      <c r="F173" s="10" t="s">
        <v>18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1" customFormat="1" ht="13.5" customHeight="1">
      <c r="A174" s="8" t="s">
        <v>232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</sheetData>
  <sheetProtection/>
  <mergeCells count="1076">
    <mergeCell ref="A1:T1"/>
    <mergeCell ref="A2:T2"/>
    <mergeCell ref="A3:Q3"/>
    <mergeCell ref="R3:T3"/>
    <mergeCell ref="A6:D6"/>
    <mergeCell ref="E6:P6"/>
    <mergeCell ref="Q6:T6"/>
    <mergeCell ref="B7:T7"/>
    <mergeCell ref="A4:C5"/>
    <mergeCell ref="D4:P5"/>
    <mergeCell ref="Q4:T4"/>
    <mergeCell ref="Q5:T5"/>
    <mergeCell ref="J10:K10"/>
    <mergeCell ref="L10:M10"/>
    <mergeCell ref="A8:B8"/>
    <mergeCell ref="C8:O8"/>
    <mergeCell ref="P8:T8"/>
    <mergeCell ref="A9:U9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N13:R13"/>
    <mergeCell ref="S13:U13"/>
    <mergeCell ref="A12:G12"/>
    <mergeCell ref="H12:I12"/>
    <mergeCell ref="J12:K12"/>
    <mergeCell ref="L12:M12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N19:R19"/>
    <mergeCell ref="S19:U19"/>
    <mergeCell ref="A18:G18"/>
    <mergeCell ref="H18:I18"/>
    <mergeCell ref="J18:K18"/>
    <mergeCell ref="L18:M18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N25:R25"/>
    <mergeCell ref="S25:U25"/>
    <mergeCell ref="A24:G24"/>
    <mergeCell ref="H24:I24"/>
    <mergeCell ref="J24:K24"/>
    <mergeCell ref="L24:M24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N31:R31"/>
    <mergeCell ref="S31:U31"/>
    <mergeCell ref="A30:G30"/>
    <mergeCell ref="H30:I30"/>
    <mergeCell ref="J30:K30"/>
    <mergeCell ref="L30:M30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N37:R37"/>
    <mergeCell ref="S37:U37"/>
    <mergeCell ref="A36:G36"/>
    <mergeCell ref="H36:I36"/>
    <mergeCell ref="J36:K36"/>
    <mergeCell ref="L36:M36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J40:K40"/>
    <mergeCell ref="L40:M40"/>
    <mergeCell ref="N38:R38"/>
    <mergeCell ref="S38:U38"/>
    <mergeCell ref="A39:G39"/>
    <mergeCell ref="H39:I39"/>
    <mergeCell ref="J39:K39"/>
    <mergeCell ref="L39:M39"/>
    <mergeCell ref="N39:R39"/>
    <mergeCell ref="S39:U39"/>
    <mergeCell ref="N40:R40"/>
    <mergeCell ref="S40:U40"/>
    <mergeCell ref="A41:G41"/>
    <mergeCell ref="H41:I41"/>
    <mergeCell ref="J41:K41"/>
    <mergeCell ref="L41:M41"/>
    <mergeCell ref="N41:R41"/>
    <mergeCell ref="S41:U41"/>
    <mergeCell ref="A40:G40"/>
    <mergeCell ref="H40:I40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A47:F47"/>
    <mergeCell ref="G47:H47"/>
    <mergeCell ref="I47:J47"/>
    <mergeCell ref="K47:L47"/>
    <mergeCell ref="M45:N45"/>
    <mergeCell ref="O45:S45"/>
    <mergeCell ref="I45:J45"/>
    <mergeCell ref="K45:L45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A51:F51"/>
    <mergeCell ref="G51:H51"/>
    <mergeCell ref="I51:J51"/>
    <mergeCell ref="K51:L51"/>
    <mergeCell ref="M49:N49"/>
    <mergeCell ref="O49:S49"/>
    <mergeCell ref="I49:J49"/>
    <mergeCell ref="K49:L49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A55:F55"/>
    <mergeCell ref="G55:H55"/>
    <mergeCell ref="I55:J55"/>
    <mergeCell ref="K55:L55"/>
    <mergeCell ref="M53:N53"/>
    <mergeCell ref="O53:S53"/>
    <mergeCell ref="I53:J53"/>
    <mergeCell ref="K53:L53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A59:F59"/>
    <mergeCell ref="G59:H59"/>
    <mergeCell ref="I59:J59"/>
    <mergeCell ref="K59:L59"/>
    <mergeCell ref="M57:N57"/>
    <mergeCell ref="O57:S57"/>
    <mergeCell ref="I57:J57"/>
    <mergeCell ref="K57:L57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A63:F63"/>
    <mergeCell ref="G63:H63"/>
    <mergeCell ref="I63:J63"/>
    <mergeCell ref="K63:L63"/>
    <mergeCell ref="M61:N61"/>
    <mergeCell ref="O61:S61"/>
    <mergeCell ref="I61:J61"/>
    <mergeCell ref="K61:L61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A67:F67"/>
    <mergeCell ref="G67:H67"/>
    <mergeCell ref="I67:J67"/>
    <mergeCell ref="K67:L67"/>
    <mergeCell ref="M65:N65"/>
    <mergeCell ref="O65:S65"/>
    <mergeCell ref="I65:J65"/>
    <mergeCell ref="K65:L65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A71:F71"/>
    <mergeCell ref="G71:H71"/>
    <mergeCell ref="I71:J71"/>
    <mergeCell ref="K71:L71"/>
    <mergeCell ref="M69:N69"/>
    <mergeCell ref="O69:S69"/>
    <mergeCell ref="I69:J69"/>
    <mergeCell ref="K69:L69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A75:F75"/>
    <mergeCell ref="G75:H75"/>
    <mergeCell ref="I75:J75"/>
    <mergeCell ref="K75:L75"/>
    <mergeCell ref="M73:N73"/>
    <mergeCell ref="O73:S73"/>
    <mergeCell ref="I73:J73"/>
    <mergeCell ref="K73:L73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A79:F79"/>
    <mergeCell ref="G79:H79"/>
    <mergeCell ref="I79:J79"/>
    <mergeCell ref="K79:L79"/>
    <mergeCell ref="M77:N77"/>
    <mergeCell ref="O77:S77"/>
    <mergeCell ref="I77:J77"/>
    <mergeCell ref="K77:L77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A83:F83"/>
    <mergeCell ref="G83:H83"/>
    <mergeCell ref="I83:J83"/>
    <mergeCell ref="K83:L83"/>
    <mergeCell ref="M81:N81"/>
    <mergeCell ref="O81:S81"/>
    <mergeCell ref="I81:J81"/>
    <mergeCell ref="K81:L81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A87:F87"/>
    <mergeCell ref="G87:H87"/>
    <mergeCell ref="I87:J87"/>
    <mergeCell ref="K87:L87"/>
    <mergeCell ref="M85:N85"/>
    <mergeCell ref="O85:S85"/>
    <mergeCell ref="I85:J85"/>
    <mergeCell ref="K85:L85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A91:F91"/>
    <mergeCell ref="G91:H91"/>
    <mergeCell ref="I91:J91"/>
    <mergeCell ref="K91:L91"/>
    <mergeCell ref="M89:N89"/>
    <mergeCell ref="O89:S89"/>
    <mergeCell ref="I89:J89"/>
    <mergeCell ref="K89:L89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A95:F95"/>
    <mergeCell ref="G95:H95"/>
    <mergeCell ref="I95:J95"/>
    <mergeCell ref="K95:L95"/>
    <mergeCell ref="M93:N93"/>
    <mergeCell ref="O93:S93"/>
    <mergeCell ref="I93:J93"/>
    <mergeCell ref="K93:L93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A99:F99"/>
    <mergeCell ref="G99:H99"/>
    <mergeCell ref="I99:J99"/>
    <mergeCell ref="K99:L99"/>
    <mergeCell ref="M97:N97"/>
    <mergeCell ref="O97:S97"/>
    <mergeCell ref="I97:J97"/>
    <mergeCell ref="K97:L97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A103:F103"/>
    <mergeCell ref="G103:H103"/>
    <mergeCell ref="I103:J103"/>
    <mergeCell ref="K103:L103"/>
    <mergeCell ref="M101:N101"/>
    <mergeCell ref="O101:S101"/>
    <mergeCell ref="I101:J101"/>
    <mergeCell ref="K101:L101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A107:F107"/>
    <mergeCell ref="G107:H107"/>
    <mergeCell ref="I107:J107"/>
    <mergeCell ref="K107:L107"/>
    <mergeCell ref="M105:N105"/>
    <mergeCell ref="O105:S105"/>
    <mergeCell ref="I105:J105"/>
    <mergeCell ref="K105:L105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A111:F111"/>
    <mergeCell ref="G111:H111"/>
    <mergeCell ref="I111:J111"/>
    <mergeCell ref="K111:L111"/>
    <mergeCell ref="M109:N109"/>
    <mergeCell ref="O109:S109"/>
    <mergeCell ref="I109:J109"/>
    <mergeCell ref="K109:L109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A115:F115"/>
    <mergeCell ref="G115:H115"/>
    <mergeCell ref="I115:J115"/>
    <mergeCell ref="K115:L115"/>
    <mergeCell ref="M113:N113"/>
    <mergeCell ref="O113:S113"/>
    <mergeCell ref="I113:J113"/>
    <mergeCell ref="K113:L113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A119:F119"/>
    <mergeCell ref="G119:H119"/>
    <mergeCell ref="I119:J119"/>
    <mergeCell ref="K119:L119"/>
    <mergeCell ref="M117:N117"/>
    <mergeCell ref="O117:S117"/>
    <mergeCell ref="I117:J117"/>
    <mergeCell ref="K117:L117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A123:F123"/>
    <mergeCell ref="G123:H123"/>
    <mergeCell ref="I123:J123"/>
    <mergeCell ref="K123:L123"/>
    <mergeCell ref="M121:N121"/>
    <mergeCell ref="O121:S121"/>
    <mergeCell ref="I121:J121"/>
    <mergeCell ref="K121:L121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A127:F127"/>
    <mergeCell ref="G127:H127"/>
    <mergeCell ref="I127:J127"/>
    <mergeCell ref="K127:L127"/>
    <mergeCell ref="M125:N125"/>
    <mergeCell ref="O125:S125"/>
    <mergeCell ref="I125:J125"/>
    <mergeCell ref="K125:L125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A131:F131"/>
    <mergeCell ref="G131:H131"/>
    <mergeCell ref="I131:J131"/>
    <mergeCell ref="K131:L131"/>
    <mergeCell ref="M129:N129"/>
    <mergeCell ref="O129:S129"/>
    <mergeCell ref="I129:J129"/>
    <mergeCell ref="K129:L129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A135:F135"/>
    <mergeCell ref="G135:H135"/>
    <mergeCell ref="I135:J135"/>
    <mergeCell ref="K135:L135"/>
    <mergeCell ref="M133:N133"/>
    <mergeCell ref="O133:S133"/>
    <mergeCell ref="I133:J133"/>
    <mergeCell ref="K133:L133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A139:F139"/>
    <mergeCell ref="G139:H139"/>
    <mergeCell ref="I139:J139"/>
    <mergeCell ref="K139:L139"/>
    <mergeCell ref="M137:N137"/>
    <mergeCell ref="O137:S137"/>
    <mergeCell ref="I137:J137"/>
    <mergeCell ref="K137:L137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A143:F143"/>
    <mergeCell ref="G143:H143"/>
    <mergeCell ref="I143:J143"/>
    <mergeCell ref="K143:L143"/>
    <mergeCell ref="M141:N141"/>
    <mergeCell ref="O141:S141"/>
    <mergeCell ref="I141:J141"/>
    <mergeCell ref="K141:L141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A147:F147"/>
    <mergeCell ref="G147:H147"/>
    <mergeCell ref="I147:J147"/>
    <mergeCell ref="K147:L147"/>
    <mergeCell ref="M145:N145"/>
    <mergeCell ref="O145:S145"/>
    <mergeCell ref="I145:J145"/>
    <mergeCell ref="K145:L145"/>
    <mergeCell ref="M147:N147"/>
    <mergeCell ref="O147:S147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A151:F151"/>
    <mergeCell ref="G151:H151"/>
    <mergeCell ref="I151:J151"/>
    <mergeCell ref="K151:L151"/>
    <mergeCell ref="M149:N149"/>
    <mergeCell ref="O149:S149"/>
    <mergeCell ref="I149:J149"/>
    <mergeCell ref="K149:L149"/>
    <mergeCell ref="M151:N151"/>
    <mergeCell ref="O151:S151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A155:F155"/>
    <mergeCell ref="G155:H155"/>
    <mergeCell ref="I155:J155"/>
    <mergeCell ref="K155:L155"/>
    <mergeCell ref="M153:N153"/>
    <mergeCell ref="O153:S153"/>
    <mergeCell ref="I153:J153"/>
    <mergeCell ref="K153:L153"/>
    <mergeCell ref="M155:N155"/>
    <mergeCell ref="O155:S155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S160:U160"/>
    <mergeCell ref="M157:N157"/>
    <mergeCell ref="O157:S157"/>
    <mergeCell ref="T157:U157"/>
    <mergeCell ref="A158:U158"/>
    <mergeCell ref="A157:F157"/>
    <mergeCell ref="G157:H157"/>
    <mergeCell ref="I157:J157"/>
    <mergeCell ref="K157:L157"/>
    <mergeCell ref="A161:G161"/>
    <mergeCell ref="H161:I161"/>
    <mergeCell ref="J161:K161"/>
    <mergeCell ref="L161:M161"/>
    <mergeCell ref="A159:U159"/>
    <mergeCell ref="A160:G160"/>
    <mergeCell ref="H160:I160"/>
    <mergeCell ref="J160:K160"/>
    <mergeCell ref="L160:M160"/>
    <mergeCell ref="N160:R160"/>
    <mergeCell ref="J163:K163"/>
    <mergeCell ref="L163:M163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7:K167"/>
    <mergeCell ref="L167:M167"/>
    <mergeCell ref="A165:U165"/>
    <mergeCell ref="A166:G166"/>
    <mergeCell ref="H166:I166"/>
    <mergeCell ref="J166:K166"/>
    <mergeCell ref="L166:M166"/>
    <mergeCell ref="N166:R166"/>
    <mergeCell ref="S166:U166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A167:G167"/>
    <mergeCell ref="H167:I167"/>
    <mergeCell ref="L170:M170"/>
    <mergeCell ref="N170:R170"/>
    <mergeCell ref="S170:U170"/>
    <mergeCell ref="A169:G169"/>
    <mergeCell ref="H169:I169"/>
    <mergeCell ref="J169:K169"/>
    <mergeCell ref="L169:M169"/>
    <mergeCell ref="A174:U174"/>
    <mergeCell ref="A171:U171"/>
    <mergeCell ref="A172:U172"/>
    <mergeCell ref="A173:E173"/>
    <mergeCell ref="F173:U173"/>
    <mergeCell ref="N169:R169"/>
    <mergeCell ref="S169:U169"/>
    <mergeCell ref="A170:G170"/>
    <mergeCell ref="H170:I170"/>
    <mergeCell ref="J170:K17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2" max="255" man="1"/>
    <brk id="15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dcterms:created xsi:type="dcterms:W3CDTF">2017-07-24T12:33:34Z</dcterms:created>
  <dcterms:modified xsi:type="dcterms:W3CDTF">2017-07-24T12:36:58Z</dcterms:modified>
  <cp:category/>
  <cp:version/>
  <cp:contentType/>
  <cp:contentStatus/>
</cp:coreProperties>
</file>