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<sst xmlns="http://schemas.openxmlformats.org/spreadsheetml/2006/main" count="463" uniqueCount="214">
  <si>
    <t>ОТЧЕТ ОБ ИСПОЛНЕНИИ БЮДЖЕТА</t>
  </si>
  <si>
    <t>КОДЫ</t>
  </si>
  <si>
    <t xml:space="preserve">Форма по ОКУД </t>
  </si>
  <si>
    <t>0503117</t>
  </si>
  <si>
    <t>на 1 мая 2021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</si>
  <si>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</si>
  <si>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</si>
  <si>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</si>
  <si>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</si>
  <si>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</si>
  <si>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</si>
  <si>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</si>
  <si>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</si>
  <si>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</si>
  <si>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</si>
  <si>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</si>
  <si>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</si>
  <si>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</si>
  <si>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</si>
  <si>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</si>
  <si>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</si>
  <si>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</si>
  <si>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</si>
  <si>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</si>
  <si>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</si>
  <si>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</si>
  <si>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</si>
  <si>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</si>
  <si>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</si>
  <si>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</si>
  <si>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</si>
  <si>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</si>
  <si>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</si>
  <si>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</si>
  <si>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</si>
  <si>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</si>
  <si>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</si>
  <si>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</si>
  <si>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</si>
  <si>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</si>
  <si>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</si>
  <si>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</si>
  <si>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</si>
  <si>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</si>
  <si>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</si>
  <si>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</si>
  <si>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</si>
  <si>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</si>
  <si>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</si>
  <si>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</si>
  <si>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</si>
  <si>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</si>
  <si>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</si>
  <si>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</si>
  <si>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</si>
  <si>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</si>
  <si>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</si>
  <si>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</si>
  <si>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</si>
  <si>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</si>
  <si>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</si>
  <si>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</si>
  <si>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</si>
  <si>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</si>
  <si>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</si>
  <si>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</si>
  <si>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</si>
  <si>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</si>
  <si>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</si>
  <si>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</si>
  <si>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</si>
  <si>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</si>
  <si>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</si>
  <si>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</si>
  <si>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</si>
  <si>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</si>
  <si>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</si>
  <si>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</si>
  <si>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</si>
  <si>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</si>
  <si>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</si>
  <si>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</si>
  <si>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</si>
  <si>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</si>
  <si>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</si>
  <si>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</si>
  <si>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</si>
  <si>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</si>
  <si>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</si>
  <si>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</si>
  <si>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</si>
  <si>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</si>
  <si>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</si>
  <si>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</si>
  <si>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</si>
  <si>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</si>
  <si>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</si>
  <si>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</si>
  <si>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</si>
  <si>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650 0102 0104102030 121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</si>
  <si>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</si>
  <si>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650 0102 0104102030 129</t>
  </si>
  <si>
    <t>650 0104 0104202040 121</t>
  </si>
  <si>
    <t>Иные выплаты персоналу государственных (муниципальных) органов, за исключением фонда оплаты труда</t>
  </si>
  <si>
    <t>650 0104 0104202040 122</t>
  </si>
  <si>
    <t>650 0104 0104202040 129</t>
  </si>
  <si>
    <t>Иные межбюджетные трансферты</t>
  </si>
  <si>
    <t>650 0104 0104502040 540</t>
  </si>
  <si>
    <t>Резервные средства</t>
  </si>
  <si>
    <t>650 0111 6000007050 870</t>
  </si>
  <si>
    <t>Прочая закупка товаров, работ и услуг</t>
  </si>
  <si>
    <t>650 0113 0101002400 244</t>
  </si>
  <si>
    <t>650 0113 0104202040 122</t>
  </si>
  <si>
    <t>650 0113 0104202400 244</t>
  </si>
  <si>
    <t>Исполнение судебных актов Российской Федерации и мировых соглашений по возмещению причиненного вреда</t>
  </si>
  <si>
    <t>650 0113 0104202400 831</t>
  </si>
  <si>
    <t>Уплата прочих налогов, сборов</t>
  </si>
  <si>
    <t>650 0113 0104202400 852</t>
  </si>
  <si>
    <t>Уплата иных платежей</t>
  </si>
  <si>
    <t>650 0113 0104202400 853</t>
  </si>
  <si>
    <t>Фонд оплаты труда учреждений</t>
  </si>
  <si>
    <t>650 0113 0104300590 111</t>
  </si>
  <si>
    <t>Иные выплаты персоналу учреждений, за исключением фонда оплаты труда</t>
  </si>
  <si>
    <t>650 0113 0104300590 112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</si>
  <si>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</si>
  <si>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650 0113 0104300590 119</t>
  </si>
  <si>
    <t>Закупка товаров, работ, услуг в сфере информационно-коммуникационных технологий</t>
  </si>
  <si>
    <t>650 0113 0104300590 242</t>
  </si>
  <si>
    <t>650 0113 0104300590 244</t>
  </si>
  <si>
    <t>650 0113 0104300590 852</t>
  </si>
  <si>
    <t>650 0113 0401074040 244</t>
  </si>
  <si>
    <t>Закупка энергетических ресурсов</t>
  </si>
  <si>
    <t>650 0113 0401074040 247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</si>
  <si>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</si>
  <si>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</si>
  <si>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</si>
  <si>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</si>
  <si>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</si>
  <si>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244</t>
  </si>
  <si>
    <t>650 0314 0602074020 244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</si>
  <si>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</si>
  <si>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650 0314 0603082300 123</t>
  </si>
  <si>
    <t>650 0314 0603082300 244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</si>
  <si>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</si>
  <si>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</si>
  <si>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</si>
  <si>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</si>
  <si>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</si>
  <si>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</si>
  <si>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</si>
  <si>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</si>
  <si>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</si>
  <si>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</si>
  <si>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650 0408 0303073030 244</t>
  </si>
  <si>
    <t>650 0409 0301074190 244</t>
  </si>
  <si>
    <t>650 0409 0302074030 244</t>
  </si>
  <si>
    <t>650 0410 0104202400 242</t>
  </si>
  <si>
    <t>650 0501 0401074040 244</t>
  </si>
  <si>
    <t>650 0501 0401074040 247</t>
  </si>
  <si>
    <t>650 0502 0104570010 540</t>
  </si>
  <si>
    <t>650 0502 0104582591 540</t>
  </si>
  <si>
    <t>650 0502 0104582840 540</t>
  </si>
  <si>
    <t>650 0502 01045S2591 540</t>
  </si>
  <si>
    <t>650 0502 01045S2840 540</t>
  </si>
  <si>
    <t>650 0503 0501076100 244</t>
  </si>
  <si>
    <t>650 0503 0501076100 247</t>
  </si>
  <si>
    <t>650 0503 0502076400 244</t>
  </si>
  <si>
    <t>650 0503 0503076500 244</t>
  </si>
  <si>
    <t>650 0503 0504070990 244</t>
  </si>
  <si>
    <t>650 0503 0504076500 244</t>
  </si>
  <si>
    <t>650 0503 0504082753 540</t>
  </si>
  <si>
    <t>650 0503 05040S2753 540</t>
  </si>
  <si>
    <t>650 0503 0505099990 244</t>
  </si>
  <si>
    <t>650 0505 0104502040 540</t>
  </si>
  <si>
    <t>650 0707 0104500540 540</t>
  </si>
  <si>
    <t>650 0707 0202070145 111</t>
  </si>
  <si>
    <t>650 0707 0202070145 119</t>
  </si>
  <si>
    <t>650 0707 0202070145 244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</si>
  <si>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</si>
  <si>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</si>
  <si>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</si>
  <si>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</si>
  <si>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</si>
  <si>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</si>
  <si>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</si>
  <si>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</si>
  <si>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Уплата налога на имущество организаций и земельного налога</t>
  </si>
  <si>
    <t>650 0801 0204000590 851</t>
  </si>
  <si>
    <t>650 0801 0204000590 853</t>
  </si>
  <si>
    <t>650 0801 0204072580 111</t>
  </si>
  <si>
    <t>650 0801 0204072580 119</t>
  </si>
  <si>
    <t>Иные пенсии, социальные доплаты к пенсиям</t>
  </si>
  <si>
    <t>650 1001 0102000220 312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</si>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</sst>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29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7" fillId="33" borderId="33" xfId="0" applyNumberFormat="1" applyFont="1" applyFill="1" applyBorder="1" applyAlignment="1">
      <alignment horizont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26">
      <selection activeCell="A140" sqref="A140:IV14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" t="s">
        <v>1</v>
      </c>
    </row>
    <row r="2" spans="1:15" s="1" customFormat="1" ht="13.5" customHeigh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 t="s">
        <v>3</v>
      </c>
    </row>
    <row r="3" spans="1:15" s="1" customFormat="1" ht="13.5" customHeight="1">
      <c r="A3" s="27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 t="s">
        <v>5</v>
      </c>
      <c r="N3" s="28"/>
      <c r="O3" s="4">
        <v>44317</v>
      </c>
    </row>
    <row r="4" spans="1:15" s="1" customFormat="1" ht="13.5" customHeight="1">
      <c r="A4" s="29" t="s">
        <v>6</v>
      </c>
      <c r="B4" s="29"/>
      <c r="C4" s="29"/>
      <c r="D4" s="30" t="s">
        <v>7</v>
      </c>
      <c r="E4" s="30"/>
      <c r="F4" s="30"/>
      <c r="G4" s="30"/>
      <c r="H4" s="30"/>
      <c r="I4" s="30"/>
      <c r="J4" s="30"/>
      <c r="K4" s="30"/>
      <c r="L4" s="28" t="s">
        <v>8</v>
      </c>
      <c r="M4" s="28"/>
      <c r="N4" s="28"/>
      <c r="O4" s="6" t="s">
        <v>10</v>
      </c>
    </row>
    <row r="5" spans="1:15" s="1" customFormat="1" ht="13.5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28" t="s">
        <v>9</v>
      </c>
      <c r="M5" s="28"/>
      <c r="N5" s="28"/>
      <c r="O5" s="6" t="s">
        <v>11</v>
      </c>
    </row>
    <row r="6" spans="1:15" s="1" customFormat="1" ht="13.5" customHeight="1">
      <c r="A6" s="29" t="s">
        <v>12</v>
      </c>
      <c r="B6" s="29"/>
      <c r="C6" s="29"/>
      <c r="D6" s="29"/>
      <c r="E6" s="30" t="s">
        <v>13</v>
      </c>
      <c r="F6" s="30"/>
      <c r="G6" s="30"/>
      <c r="H6" s="30"/>
      <c r="I6" s="30"/>
      <c r="J6" s="30"/>
      <c r="K6" s="30"/>
      <c r="L6" s="28" t="s">
        <v>14</v>
      </c>
      <c r="M6" s="28"/>
      <c r="N6" s="28"/>
      <c r="O6" s="6" t="s">
        <v>15</v>
      </c>
    </row>
    <row r="7" spans="1:15" s="1" customFormat="1" ht="13.5" customHeight="1">
      <c r="A7" s="5" t="s">
        <v>16</v>
      </c>
      <c r="B7" s="29" t="s">
        <v>17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6" t="s">
        <v>18</v>
      </c>
    </row>
    <row r="8" spans="1:15" s="1" customFormat="1" ht="13.5" customHeight="1">
      <c r="A8" s="29" t="s">
        <v>19</v>
      </c>
      <c r="B8" s="29"/>
      <c r="C8" s="29" t="s">
        <v>20</v>
      </c>
      <c r="D8" s="29"/>
      <c r="E8" s="29"/>
      <c r="F8" s="29"/>
      <c r="G8" s="29"/>
      <c r="H8" s="29"/>
      <c r="I8" s="29"/>
      <c r="J8" s="29"/>
      <c r="K8" s="28" t="s">
        <v>21</v>
      </c>
      <c r="L8" s="28"/>
      <c r="M8" s="28"/>
      <c r="N8" s="28"/>
      <c r="O8" s="7" t="s">
        <v>22</v>
      </c>
    </row>
    <row r="9" spans="1:15" s="1" customFormat="1" ht="13.5" customHeight="1">
      <c r="A9" s="31" t="s">
        <v>23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1" customFormat="1" ht="34.5" customHeight="1">
      <c r="A10" s="32" t="s">
        <v>24</v>
      </c>
      <c r="B10" s="32"/>
      <c r="C10" s="32"/>
      <c r="D10" s="32"/>
      <c r="E10" s="32"/>
      <c r="F10" s="32"/>
      <c r="G10" s="8" t="s">
        <v>25</v>
      </c>
      <c r="H10" s="8" t="s">
        <v>26</v>
      </c>
      <c r="I10" s="9" t="s">
        <v>27</v>
      </c>
      <c r="J10" s="33" t="s">
        <v>28</v>
      </c>
      <c r="K10" s="33"/>
      <c r="L10" s="33"/>
      <c r="M10" s="33"/>
      <c r="N10" s="34" t="s">
        <v>29</v>
      </c>
      <c r="O10" s="34"/>
    </row>
    <row r="11" spans="1:15" s="1" customFormat="1" ht="12.75" customHeight="1">
      <c r="A11" s="35" t="s">
        <v>30</v>
      </c>
      <c r="B11" s="35"/>
      <c r="C11" s="35"/>
      <c r="D11" s="35"/>
      <c r="E11" s="35"/>
      <c r="F11" s="35"/>
      <c r="G11" s="10" t="s">
        <v>31</v>
      </c>
      <c r="H11" s="10" t="s">
        <v>32</v>
      </c>
      <c r="I11" s="11" t="s">
        <v>33</v>
      </c>
      <c r="J11" s="36" t="s">
        <v>34</v>
      </c>
      <c r="K11" s="36"/>
      <c r="L11" s="36"/>
      <c r="M11" s="36"/>
      <c r="N11" s="37" t="s">
        <v>35</v>
      </c>
      <c r="O11" s="37"/>
    </row>
    <row r="12" spans="1:15" s="1" customFormat="1" ht="13.5" customHeight="1">
      <c r="A12" s="38" t="s">
        <v>36</v>
      </c>
      <c r="B12" s="38"/>
      <c r="C12" s="38"/>
      <c r="D12" s="38"/>
      <c r="E12" s="38"/>
      <c r="F12" s="38"/>
      <c r="G12" s="12" t="s">
        <v>37</v>
      </c>
      <c r="H12" s="12" t="s">
        <v>38</v>
      </c>
      <c r="I12" s="13">
        <f>74684514.98</f>
        <v>74684514.98</v>
      </c>
      <c r="J12" s="39">
        <f>20150014.38</f>
        <v>20150014.38</v>
      </c>
      <c r="K12" s="39"/>
      <c r="L12" s="39"/>
      <c r="M12" s="39"/>
      <c r="N12" s="40">
        <f>54534500.6</f>
        <v>54534500.6</v>
      </c>
      <c r="O12" s="40"/>
    </row>
    <row r="13" spans="1:15" s="1" customFormat="1" ht="45" customHeight="1">
      <c r="A13" s="41" t="s">
        <v>39</v>
      </c>
      <c r="B13" s="41"/>
      <c r="C13" s="41"/>
      <c r="D13" s="41"/>
      <c r="E13" s="41"/>
      <c r="F13" s="41"/>
      <c r="G13" s="14" t="s">
        <v>37</v>
      </c>
      <c r="H13" s="14" t="s">
        <v>40</v>
      </c>
      <c r="I13" s="15">
        <f>300000</f>
        <v>300000</v>
      </c>
      <c r="J13" s="42">
        <f>149658.8</f>
        <v>149658.8</v>
      </c>
      <c r="K13" s="42"/>
      <c r="L13" s="42"/>
      <c r="M13" s="42"/>
      <c r="N13" s="43">
        <f>150341.2</f>
        <v>150341.2</v>
      </c>
      <c r="O13" s="43"/>
    </row>
    <row r="14" spans="1:15" s="1" customFormat="1" ht="33.75" customHeight="1">
      <c r="A14" s="41" t="s">
        <v>41</v>
      </c>
      <c r="B14" s="41"/>
      <c r="C14" s="41"/>
      <c r="D14" s="41"/>
      <c r="E14" s="41"/>
      <c r="F14" s="41"/>
      <c r="G14" s="14" t="s">
        <v>37</v>
      </c>
      <c r="H14" s="14" t="s">
        <v>42</v>
      </c>
      <c r="I14" s="15">
        <f>20000</f>
        <v>20000</v>
      </c>
      <c r="J14" s="42">
        <f>20409.52</f>
        <v>20409.52</v>
      </c>
      <c r="K14" s="42"/>
      <c r="L14" s="42"/>
      <c r="M14" s="42"/>
      <c r="N14" s="44" t="s">
        <v>43</v>
      </c>
      <c r="O14" s="44"/>
    </row>
    <row r="15" spans="1:15" s="1" customFormat="1" ht="66" customHeight="1">
      <c r="A15" s="41" t="s">
        <v>44</v>
      </c>
      <c r="B15" s="41"/>
      <c r="C15" s="41"/>
      <c r="D15" s="41"/>
      <c r="E15" s="41"/>
      <c r="F15" s="41"/>
      <c r="G15" s="14" t="s">
        <v>37</v>
      </c>
      <c r="H15" s="14" t="s">
        <v>45</v>
      </c>
      <c r="I15" s="15">
        <f>3123530.19</f>
        <v>3123530.19</v>
      </c>
      <c r="J15" s="42">
        <f>897294.52</f>
        <v>897294.52</v>
      </c>
      <c r="K15" s="42"/>
      <c r="L15" s="42"/>
      <c r="M15" s="42"/>
      <c r="N15" s="43">
        <f>2226235.67</f>
        <v>2226235.67</v>
      </c>
      <c r="O15" s="43"/>
    </row>
    <row r="16" spans="1:15" s="1" customFormat="1" ht="75.75" customHeight="1">
      <c r="A16" s="41" t="s">
        <v>46</v>
      </c>
      <c r="B16" s="41"/>
      <c r="C16" s="41"/>
      <c r="D16" s="41"/>
      <c r="E16" s="41"/>
      <c r="F16" s="41"/>
      <c r="G16" s="14" t="s">
        <v>37</v>
      </c>
      <c r="H16" s="14" t="s">
        <v>47</v>
      </c>
      <c r="I16" s="15">
        <f>15670</f>
        <v>15670</v>
      </c>
      <c r="J16" s="42">
        <f>6625.55</f>
        <v>6625.55</v>
      </c>
      <c r="K16" s="42"/>
      <c r="L16" s="42"/>
      <c r="M16" s="42"/>
      <c r="N16" s="43">
        <f>9044.45</f>
        <v>9044.45</v>
      </c>
      <c r="O16" s="43"/>
    </row>
    <row r="17" spans="1:15" s="1" customFormat="1" ht="66" customHeight="1">
      <c r="A17" s="41" t="s">
        <v>48</v>
      </c>
      <c r="B17" s="41"/>
      <c r="C17" s="41"/>
      <c r="D17" s="41"/>
      <c r="E17" s="41"/>
      <c r="F17" s="41"/>
      <c r="G17" s="14" t="s">
        <v>37</v>
      </c>
      <c r="H17" s="14" t="s">
        <v>49</v>
      </c>
      <c r="I17" s="15">
        <f>4068540</f>
        <v>4068540</v>
      </c>
      <c r="J17" s="42">
        <f>1245023.34</f>
        <v>1245023.34</v>
      </c>
      <c r="K17" s="42"/>
      <c r="L17" s="42"/>
      <c r="M17" s="42"/>
      <c r="N17" s="43">
        <f>2823516.66</f>
        <v>2823516.66</v>
      </c>
      <c r="O17" s="43"/>
    </row>
    <row r="18" spans="1:15" s="1" customFormat="1" ht="66" customHeight="1">
      <c r="A18" s="41" t="s">
        <v>50</v>
      </c>
      <c r="B18" s="41"/>
      <c r="C18" s="41"/>
      <c r="D18" s="41"/>
      <c r="E18" s="41"/>
      <c r="F18" s="41"/>
      <c r="G18" s="14" t="s">
        <v>37</v>
      </c>
      <c r="H18" s="14" t="s">
        <v>51</v>
      </c>
      <c r="I18" s="15">
        <f>-431960</f>
        <v>-431960</v>
      </c>
      <c r="J18" s="42">
        <f>-162926.41</f>
        <v>-162926.41</v>
      </c>
      <c r="K18" s="42"/>
      <c r="L18" s="42"/>
      <c r="M18" s="42"/>
      <c r="N18" s="43">
        <f>-269033.59</f>
        <v>-269033.59</v>
      </c>
      <c r="O18" s="43"/>
    </row>
    <row r="19" spans="1:15" s="1" customFormat="1" ht="45" customHeight="1">
      <c r="A19" s="41" t="s">
        <v>52</v>
      </c>
      <c r="B19" s="41"/>
      <c r="C19" s="41"/>
      <c r="D19" s="41"/>
      <c r="E19" s="41"/>
      <c r="F19" s="41"/>
      <c r="G19" s="14" t="s">
        <v>37</v>
      </c>
      <c r="H19" s="14" t="s">
        <v>53</v>
      </c>
      <c r="I19" s="15">
        <f>6469000</f>
        <v>6469000</v>
      </c>
      <c r="J19" s="42">
        <f>2295574.43</f>
        <v>2295574.43</v>
      </c>
      <c r="K19" s="42"/>
      <c r="L19" s="42"/>
      <c r="M19" s="42"/>
      <c r="N19" s="43">
        <f>4173425.57</f>
        <v>4173425.57</v>
      </c>
      <c r="O19" s="43"/>
    </row>
    <row r="20" spans="1:15" s="1" customFormat="1" ht="66" customHeight="1">
      <c r="A20" s="41" t="s">
        <v>54</v>
      </c>
      <c r="B20" s="41"/>
      <c r="C20" s="41"/>
      <c r="D20" s="41"/>
      <c r="E20" s="41"/>
      <c r="F20" s="41"/>
      <c r="G20" s="14" t="s">
        <v>37</v>
      </c>
      <c r="H20" s="14" t="s">
        <v>55</v>
      </c>
      <c r="I20" s="15">
        <f>1000</f>
        <v>1000</v>
      </c>
      <c r="J20" s="42">
        <f>34.97</f>
        <v>34.97</v>
      </c>
      <c r="K20" s="42"/>
      <c r="L20" s="42"/>
      <c r="M20" s="42"/>
      <c r="N20" s="43">
        <f>965.03</f>
        <v>965.03</v>
      </c>
      <c r="O20" s="43"/>
    </row>
    <row r="21" spans="1:15" s="1" customFormat="1" ht="24" customHeight="1">
      <c r="A21" s="41" t="s">
        <v>56</v>
      </c>
      <c r="B21" s="41"/>
      <c r="C21" s="41"/>
      <c r="D21" s="41"/>
      <c r="E21" s="41"/>
      <c r="F21" s="41"/>
      <c r="G21" s="14" t="s">
        <v>37</v>
      </c>
      <c r="H21" s="14" t="s">
        <v>57</v>
      </c>
      <c r="I21" s="15">
        <f>30000</f>
        <v>30000</v>
      </c>
      <c r="J21" s="42">
        <f>70.51</f>
        <v>70.51</v>
      </c>
      <c r="K21" s="42"/>
      <c r="L21" s="42"/>
      <c r="M21" s="42"/>
      <c r="N21" s="43">
        <f>29929.49</f>
        <v>29929.49</v>
      </c>
      <c r="O21" s="43"/>
    </row>
    <row r="22" spans="1:15" s="1" customFormat="1" ht="13.5" customHeight="1">
      <c r="A22" s="41" t="s">
        <v>58</v>
      </c>
      <c r="B22" s="41"/>
      <c r="C22" s="41"/>
      <c r="D22" s="41"/>
      <c r="E22" s="41"/>
      <c r="F22" s="41"/>
      <c r="G22" s="14" t="s">
        <v>37</v>
      </c>
      <c r="H22" s="14" t="s">
        <v>59</v>
      </c>
      <c r="I22" s="15">
        <f>185000</f>
        <v>185000</v>
      </c>
      <c r="J22" s="42">
        <f>184927.09</f>
        <v>184927.09</v>
      </c>
      <c r="K22" s="42"/>
      <c r="L22" s="42"/>
      <c r="M22" s="42"/>
      <c r="N22" s="43">
        <f>72.91</f>
        <v>72.91</v>
      </c>
      <c r="O22" s="43"/>
    </row>
    <row r="23" spans="1:15" s="1" customFormat="1" ht="13.5" customHeight="1">
      <c r="A23" s="41" t="s">
        <v>60</v>
      </c>
      <c r="B23" s="41"/>
      <c r="C23" s="41"/>
      <c r="D23" s="41"/>
      <c r="E23" s="41"/>
      <c r="F23" s="41"/>
      <c r="G23" s="14" t="s">
        <v>37</v>
      </c>
      <c r="H23" s="14" t="s">
        <v>61</v>
      </c>
      <c r="I23" s="15">
        <f>7354.5</f>
        <v>7354.5</v>
      </c>
      <c r="J23" s="42">
        <f>7354.5</f>
        <v>7354.5</v>
      </c>
      <c r="K23" s="42"/>
      <c r="L23" s="42"/>
      <c r="M23" s="42"/>
      <c r="N23" s="43">
        <f>0</f>
        <v>0</v>
      </c>
      <c r="O23" s="43"/>
    </row>
    <row r="24" spans="1:15" s="1" customFormat="1" ht="24" customHeight="1">
      <c r="A24" s="41" t="s">
        <v>62</v>
      </c>
      <c r="B24" s="41"/>
      <c r="C24" s="41"/>
      <c r="D24" s="41"/>
      <c r="E24" s="41"/>
      <c r="F24" s="41"/>
      <c r="G24" s="14" t="s">
        <v>37</v>
      </c>
      <c r="H24" s="14" t="s">
        <v>63</v>
      </c>
      <c r="I24" s="15">
        <f>400000</f>
        <v>400000</v>
      </c>
      <c r="J24" s="42">
        <f>39310.29</f>
        <v>39310.29</v>
      </c>
      <c r="K24" s="42"/>
      <c r="L24" s="42"/>
      <c r="M24" s="42"/>
      <c r="N24" s="43">
        <f>360689.71</f>
        <v>360689.71</v>
      </c>
      <c r="O24" s="43"/>
    </row>
    <row r="25" spans="1:15" s="1" customFormat="1" ht="13.5" customHeight="1">
      <c r="A25" s="41" t="s">
        <v>64</v>
      </c>
      <c r="B25" s="41"/>
      <c r="C25" s="41"/>
      <c r="D25" s="41"/>
      <c r="E25" s="41"/>
      <c r="F25" s="41"/>
      <c r="G25" s="14" t="s">
        <v>37</v>
      </c>
      <c r="H25" s="14" t="s">
        <v>65</v>
      </c>
      <c r="I25" s="15">
        <f>18000</f>
        <v>18000</v>
      </c>
      <c r="J25" s="42">
        <f>8698.82</f>
        <v>8698.82</v>
      </c>
      <c r="K25" s="42"/>
      <c r="L25" s="42"/>
      <c r="M25" s="42"/>
      <c r="N25" s="43">
        <f>9301.18</f>
        <v>9301.18</v>
      </c>
      <c r="O25" s="43"/>
    </row>
    <row r="26" spans="1:15" s="1" customFormat="1" ht="13.5" customHeight="1">
      <c r="A26" s="41" t="s">
        <v>66</v>
      </c>
      <c r="B26" s="41"/>
      <c r="C26" s="41"/>
      <c r="D26" s="41"/>
      <c r="E26" s="41"/>
      <c r="F26" s="41"/>
      <c r="G26" s="14" t="s">
        <v>37</v>
      </c>
      <c r="H26" s="14" t="s">
        <v>67</v>
      </c>
      <c r="I26" s="15">
        <f>53000</f>
        <v>53000</v>
      </c>
      <c r="J26" s="42">
        <f>6941.38</f>
        <v>6941.38</v>
      </c>
      <c r="K26" s="42"/>
      <c r="L26" s="42"/>
      <c r="M26" s="42"/>
      <c r="N26" s="43">
        <f>46058.62</f>
        <v>46058.62</v>
      </c>
      <c r="O26" s="43"/>
    </row>
    <row r="27" spans="1:15" s="1" customFormat="1" ht="24" customHeight="1">
      <c r="A27" s="41" t="s">
        <v>68</v>
      </c>
      <c r="B27" s="41"/>
      <c r="C27" s="41"/>
      <c r="D27" s="41"/>
      <c r="E27" s="41"/>
      <c r="F27" s="41"/>
      <c r="G27" s="14" t="s">
        <v>37</v>
      </c>
      <c r="H27" s="14" t="s">
        <v>69</v>
      </c>
      <c r="I27" s="15">
        <f>650000</f>
        <v>650000</v>
      </c>
      <c r="J27" s="42">
        <f>365854</f>
        <v>365854</v>
      </c>
      <c r="K27" s="42"/>
      <c r="L27" s="42"/>
      <c r="M27" s="42"/>
      <c r="N27" s="43">
        <f>284146</f>
        <v>284146</v>
      </c>
      <c r="O27" s="43"/>
    </row>
    <row r="28" spans="1:15" s="1" customFormat="1" ht="24" customHeight="1">
      <c r="A28" s="41" t="s">
        <v>70</v>
      </c>
      <c r="B28" s="41"/>
      <c r="C28" s="41"/>
      <c r="D28" s="41"/>
      <c r="E28" s="41"/>
      <c r="F28" s="41"/>
      <c r="G28" s="14" t="s">
        <v>37</v>
      </c>
      <c r="H28" s="14" t="s">
        <v>71</v>
      </c>
      <c r="I28" s="15">
        <f>100000</f>
        <v>100000</v>
      </c>
      <c r="J28" s="42">
        <f>14478.64</f>
        <v>14478.64</v>
      </c>
      <c r="K28" s="42"/>
      <c r="L28" s="42"/>
      <c r="M28" s="42"/>
      <c r="N28" s="43">
        <f>85521.36</f>
        <v>85521.36</v>
      </c>
      <c r="O28" s="43"/>
    </row>
    <row r="29" spans="1:15" s="1" customFormat="1" ht="45" customHeight="1">
      <c r="A29" s="41" t="s">
        <v>72</v>
      </c>
      <c r="B29" s="41"/>
      <c r="C29" s="41"/>
      <c r="D29" s="41"/>
      <c r="E29" s="41"/>
      <c r="F29" s="41"/>
      <c r="G29" s="14" t="s">
        <v>37</v>
      </c>
      <c r="H29" s="14" t="s">
        <v>73</v>
      </c>
      <c r="I29" s="15">
        <f>15179.07</f>
        <v>15179.07</v>
      </c>
      <c r="J29" s="42">
        <f>12010.28</f>
        <v>12010.28</v>
      </c>
      <c r="K29" s="42"/>
      <c r="L29" s="42"/>
      <c r="M29" s="42"/>
      <c r="N29" s="43">
        <f>3168.79</f>
        <v>3168.79</v>
      </c>
      <c r="O29" s="43"/>
    </row>
    <row r="30" spans="1:15" s="1" customFormat="1" ht="33.75" customHeight="1">
      <c r="A30" s="41" t="s">
        <v>74</v>
      </c>
      <c r="B30" s="41"/>
      <c r="C30" s="41"/>
      <c r="D30" s="41"/>
      <c r="E30" s="41"/>
      <c r="F30" s="41"/>
      <c r="G30" s="14" t="s">
        <v>37</v>
      </c>
      <c r="H30" s="14" t="s">
        <v>75</v>
      </c>
      <c r="I30" s="15">
        <f>102000</f>
        <v>102000</v>
      </c>
      <c r="J30" s="45" t="s">
        <v>43</v>
      </c>
      <c r="K30" s="45"/>
      <c r="L30" s="45"/>
      <c r="M30" s="45"/>
      <c r="N30" s="43">
        <f>102000</f>
        <v>102000</v>
      </c>
      <c r="O30" s="43"/>
    </row>
    <row r="31" spans="1:15" s="1" customFormat="1" ht="24" customHeight="1">
      <c r="A31" s="41" t="s">
        <v>76</v>
      </c>
      <c r="B31" s="41"/>
      <c r="C31" s="41"/>
      <c r="D31" s="41"/>
      <c r="E31" s="41"/>
      <c r="F31" s="41"/>
      <c r="G31" s="14" t="s">
        <v>37</v>
      </c>
      <c r="H31" s="14" t="s">
        <v>77</v>
      </c>
      <c r="I31" s="15">
        <f>1000000</f>
        <v>1000000</v>
      </c>
      <c r="J31" s="42">
        <f>382198.43</f>
        <v>382198.43</v>
      </c>
      <c r="K31" s="42"/>
      <c r="L31" s="42"/>
      <c r="M31" s="42"/>
      <c r="N31" s="43">
        <f>617801.57</f>
        <v>617801.57</v>
      </c>
      <c r="O31" s="43"/>
    </row>
    <row r="32" spans="1:15" s="1" customFormat="1" ht="45" customHeight="1">
      <c r="A32" s="41" t="s">
        <v>78</v>
      </c>
      <c r="B32" s="41"/>
      <c r="C32" s="41"/>
      <c r="D32" s="41"/>
      <c r="E32" s="41"/>
      <c r="F32" s="41"/>
      <c r="G32" s="14" t="s">
        <v>37</v>
      </c>
      <c r="H32" s="14" t="s">
        <v>79</v>
      </c>
      <c r="I32" s="15">
        <f>955000</f>
        <v>955000</v>
      </c>
      <c r="J32" s="42">
        <f>346766.46</f>
        <v>346766.46</v>
      </c>
      <c r="K32" s="42"/>
      <c r="L32" s="42"/>
      <c r="M32" s="42"/>
      <c r="N32" s="43">
        <f>608233.54</f>
        <v>608233.54</v>
      </c>
      <c r="O32" s="43"/>
    </row>
    <row r="33" spans="1:15" s="1" customFormat="1" ht="24" customHeight="1">
      <c r="A33" s="41" t="s">
        <v>80</v>
      </c>
      <c r="B33" s="41"/>
      <c r="C33" s="41"/>
      <c r="D33" s="41"/>
      <c r="E33" s="41"/>
      <c r="F33" s="41"/>
      <c r="G33" s="14" t="s">
        <v>37</v>
      </c>
      <c r="H33" s="14" t="s">
        <v>81</v>
      </c>
      <c r="I33" s="15">
        <f>300000</f>
        <v>300000</v>
      </c>
      <c r="J33" s="42">
        <f>99390</f>
        <v>99390</v>
      </c>
      <c r="K33" s="42"/>
      <c r="L33" s="42"/>
      <c r="M33" s="42"/>
      <c r="N33" s="43">
        <f>200610</f>
        <v>200610</v>
      </c>
      <c r="O33" s="43"/>
    </row>
    <row r="34" spans="1:15" s="1" customFormat="1" ht="13.5" customHeight="1">
      <c r="A34" s="41" t="s">
        <v>82</v>
      </c>
      <c r="B34" s="41"/>
      <c r="C34" s="41"/>
      <c r="D34" s="41"/>
      <c r="E34" s="41"/>
      <c r="F34" s="41"/>
      <c r="G34" s="14" t="s">
        <v>37</v>
      </c>
      <c r="H34" s="14" t="s">
        <v>83</v>
      </c>
      <c r="I34" s="15">
        <f>1058575.4</f>
        <v>1058575.4</v>
      </c>
      <c r="J34" s="42">
        <f>1125993.64</f>
        <v>1125993.64</v>
      </c>
      <c r="K34" s="42"/>
      <c r="L34" s="42"/>
      <c r="M34" s="42"/>
      <c r="N34" s="44" t="s">
        <v>43</v>
      </c>
      <c r="O34" s="44"/>
    </row>
    <row r="35" spans="1:15" s="1" customFormat="1" ht="24" customHeight="1">
      <c r="A35" s="41" t="s">
        <v>84</v>
      </c>
      <c r="B35" s="41"/>
      <c r="C35" s="41"/>
      <c r="D35" s="41"/>
      <c r="E35" s="41"/>
      <c r="F35" s="41"/>
      <c r="G35" s="14" t="s">
        <v>37</v>
      </c>
      <c r="H35" s="14" t="s">
        <v>85</v>
      </c>
      <c r="I35" s="15">
        <f>28165400</f>
        <v>28165400</v>
      </c>
      <c r="J35" s="42">
        <f>11438387</f>
        <v>11438387</v>
      </c>
      <c r="K35" s="42"/>
      <c r="L35" s="42"/>
      <c r="M35" s="42"/>
      <c r="N35" s="43">
        <f>16727013</f>
        <v>16727013</v>
      </c>
      <c r="O35" s="43"/>
    </row>
    <row r="36" spans="1:15" s="1" customFormat="1" ht="24" customHeight="1">
      <c r="A36" s="41" t="s">
        <v>86</v>
      </c>
      <c r="B36" s="41"/>
      <c r="C36" s="41"/>
      <c r="D36" s="41"/>
      <c r="E36" s="41"/>
      <c r="F36" s="41"/>
      <c r="G36" s="14" t="s">
        <v>37</v>
      </c>
      <c r="H36" s="14" t="s">
        <v>87</v>
      </c>
      <c r="I36" s="15">
        <f>27257.14</f>
        <v>27257.14</v>
      </c>
      <c r="J36" s="45" t="s">
        <v>43</v>
      </c>
      <c r="K36" s="45"/>
      <c r="L36" s="45"/>
      <c r="M36" s="45"/>
      <c r="N36" s="43">
        <f>27257.14</f>
        <v>27257.14</v>
      </c>
      <c r="O36" s="43"/>
    </row>
    <row r="37" spans="1:15" s="1" customFormat="1" ht="24" customHeight="1">
      <c r="A37" s="41" t="s">
        <v>88</v>
      </c>
      <c r="B37" s="41"/>
      <c r="C37" s="41"/>
      <c r="D37" s="41"/>
      <c r="E37" s="41"/>
      <c r="F37" s="41"/>
      <c r="G37" s="14" t="s">
        <v>37</v>
      </c>
      <c r="H37" s="14" t="s">
        <v>89</v>
      </c>
      <c r="I37" s="15">
        <f>466400</f>
        <v>466400</v>
      </c>
      <c r="J37" s="42">
        <f>233200</f>
        <v>233200</v>
      </c>
      <c r="K37" s="42"/>
      <c r="L37" s="42"/>
      <c r="M37" s="42"/>
      <c r="N37" s="43">
        <f>233200</f>
        <v>233200</v>
      </c>
      <c r="O37" s="43"/>
    </row>
    <row r="38" spans="1:15" s="1" customFormat="1" ht="24" customHeight="1">
      <c r="A38" s="41" t="s">
        <v>90</v>
      </c>
      <c r="B38" s="41"/>
      <c r="C38" s="41"/>
      <c r="D38" s="41"/>
      <c r="E38" s="41"/>
      <c r="F38" s="41"/>
      <c r="G38" s="14" t="s">
        <v>37</v>
      </c>
      <c r="H38" s="14" t="s">
        <v>91</v>
      </c>
      <c r="I38" s="15">
        <f>117425.99</f>
        <v>117425.99</v>
      </c>
      <c r="J38" s="42">
        <f>52862.62</f>
        <v>52862.62</v>
      </c>
      <c r="K38" s="42"/>
      <c r="L38" s="42"/>
      <c r="M38" s="42"/>
      <c r="N38" s="43">
        <f>64563.37</f>
        <v>64563.37</v>
      </c>
      <c r="O38" s="43"/>
    </row>
    <row r="39" spans="1:15" s="1" customFormat="1" ht="24" customHeight="1">
      <c r="A39" s="41" t="s">
        <v>92</v>
      </c>
      <c r="B39" s="41"/>
      <c r="C39" s="41"/>
      <c r="D39" s="41"/>
      <c r="E39" s="41"/>
      <c r="F39" s="41"/>
      <c r="G39" s="14" t="s">
        <v>37</v>
      </c>
      <c r="H39" s="14" t="s">
        <v>93</v>
      </c>
      <c r="I39" s="15">
        <f>27468142.69</f>
        <v>27468142.69</v>
      </c>
      <c r="J39" s="42">
        <f>1379876</f>
        <v>1379876</v>
      </c>
      <c r="K39" s="42"/>
      <c r="L39" s="42"/>
      <c r="M39" s="42"/>
      <c r="N39" s="43">
        <f>26088266.69</f>
        <v>26088266.69</v>
      </c>
      <c r="O39" s="43"/>
    </row>
    <row r="40" spans="1:15" s="1" customFormat="1" ht="13.5" customHeight="1">
      <c r="A40" s="46" t="s">
        <v>18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s="1" customFormat="1" ht="13.5" customHeight="1">
      <c r="A41" s="31" t="s">
        <v>94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s="1" customFormat="1" ht="34.5" customHeight="1">
      <c r="A42" s="32" t="s">
        <v>24</v>
      </c>
      <c r="B42" s="32"/>
      <c r="C42" s="32"/>
      <c r="D42" s="32"/>
      <c r="E42" s="32"/>
      <c r="F42" s="32"/>
      <c r="G42" s="8" t="s">
        <v>25</v>
      </c>
      <c r="H42" s="8" t="s">
        <v>95</v>
      </c>
      <c r="I42" s="9" t="s">
        <v>27</v>
      </c>
      <c r="J42" s="33" t="s">
        <v>28</v>
      </c>
      <c r="K42" s="33"/>
      <c r="L42" s="33"/>
      <c r="M42" s="33"/>
      <c r="N42" s="34" t="s">
        <v>29</v>
      </c>
      <c r="O42" s="34"/>
    </row>
    <row r="43" spans="1:15" s="1" customFormat="1" ht="13.5" customHeight="1">
      <c r="A43" s="35" t="s">
        <v>30</v>
      </c>
      <c r="B43" s="35"/>
      <c r="C43" s="35"/>
      <c r="D43" s="35"/>
      <c r="E43" s="35"/>
      <c r="F43" s="35"/>
      <c r="G43" s="10" t="s">
        <v>31</v>
      </c>
      <c r="H43" s="10" t="s">
        <v>32</v>
      </c>
      <c r="I43" s="11" t="s">
        <v>33</v>
      </c>
      <c r="J43" s="36" t="s">
        <v>34</v>
      </c>
      <c r="K43" s="36"/>
      <c r="L43" s="36"/>
      <c r="M43" s="36"/>
      <c r="N43" s="37" t="s">
        <v>35</v>
      </c>
      <c r="O43" s="37"/>
    </row>
    <row r="44" spans="1:15" s="1" customFormat="1" ht="13.5" customHeight="1">
      <c r="A44" s="38" t="s">
        <v>96</v>
      </c>
      <c r="B44" s="38"/>
      <c r="C44" s="38"/>
      <c r="D44" s="38"/>
      <c r="E44" s="38"/>
      <c r="F44" s="38"/>
      <c r="G44" s="12" t="s">
        <v>97</v>
      </c>
      <c r="H44" s="12" t="s">
        <v>38</v>
      </c>
      <c r="I44" s="13">
        <f>79272090.59</f>
        <v>79272090.59</v>
      </c>
      <c r="J44" s="39">
        <f>17505742.42</f>
        <v>17505742.42</v>
      </c>
      <c r="K44" s="39"/>
      <c r="L44" s="39"/>
      <c r="M44" s="39"/>
      <c r="N44" s="40">
        <f>61766348.17</f>
        <v>61766348.17</v>
      </c>
      <c r="O44" s="40"/>
    </row>
    <row r="45" spans="1:15" s="1" customFormat="1" ht="13.5" customHeight="1">
      <c r="A45" s="47" t="s">
        <v>98</v>
      </c>
      <c r="B45" s="47"/>
      <c r="C45" s="47"/>
      <c r="D45" s="47"/>
      <c r="E45" s="47"/>
      <c r="F45" s="47"/>
      <c r="G45" s="16" t="s">
        <v>97</v>
      </c>
      <c r="H45" s="16" t="s">
        <v>99</v>
      </c>
      <c r="I45" s="17">
        <f>1532300</f>
        <v>1532300</v>
      </c>
      <c r="J45" s="48">
        <f>410259.97</f>
        <v>410259.97</v>
      </c>
      <c r="K45" s="48"/>
      <c r="L45" s="48"/>
      <c r="M45" s="48"/>
      <c r="N45" s="49">
        <f>1122040.03</f>
        <v>1122040.03</v>
      </c>
      <c r="O45" s="49"/>
    </row>
    <row r="46" spans="1:15" s="1" customFormat="1" ht="33.75" customHeight="1">
      <c r="A46" s="47" t="s">
        <v>100</v>
      </c>
      <c r="B46" s="47"/>
      <c r="C46" s="47"/>
      <c r="D46" s="47"/>
      <c r="E46" s="47"/>
      <c r="F46" s="47"/>
      <c r="G46" s="16" t="s">
        <v>97</v>
      </c>
      <c r="H46" s="16" t="s">
        <v>101</v>
      </c>
      <c r="I46" s="17">
        <f>462700</f>
        <v>462700</v>
      </c>
      <c r="J46" s="48">
        <f>96406.07</f>
        <v>96406.07</v>
      </c>
      <c r="K46" s="48"/>
      <c r="L46" s="48"/>
      <c r="M46" s="48"/>
      <c r="N46" s="49">
        <f>366293.93</f>
        <v>366293.93</v>
      </c>
      <c r="O46" s="49"/>
    </row>
    <row r="47" spans="1:15" s="1" customFormat="1" ht="13.5" customHeight="1">
      <c r="A47" s="47" t="s">
        <v>98</v>
      </c>
      <c r="B47" s="47"/>
      <c r="C47" s="47"/>
      <c r="D47" s="47"/>
      <c r="E47" s="47"/>
      <c r="F47" s="47"/>
      <c r="G47" s="16" t="s">
        <v>97</v>
      </c>
      <c r="H47" s="16" t="s">
        <v>102</v>
      </c>
      <c r="I47" s="17">
        <f>9123000</f>
        <v>9123000</v>
      </c>
      <c r="J47" s="48">
        <f>3020795.86</f>
        <v>3020795.86</v>
      </c>
      <c r="K47" s="48"/>
      <c r="L47" s="48"/>
      <c r="M47" s="48"/>
      <c r="N47" s="49">
        <f>6102204.14</f>
        <v>6102204.14</v>
      </c>
      <c r="O47" s="49"/>
    </row>
    <row r="48" spans="1:15" s="1" customFormat="1" ht="24" customHeight="1">
      <c r="A48" s="47" t="s">
        <v>103</v>
      </c>
      <c r="B48" s="47"/>
      <c r="C48" s="47"/>
      <c r="D48" s="47"/>
      <c r="E48" s="47"/>
      <c r="F48" s="47"/>
      <c r="G48" s="16" t="s">
        <v>97</v>
      </c>
      <c r="H48" s="16" t="s">
        <v>104</v>
      </c>
      <c r="I48" s="17">
        <f>100000</f>
        <v>100000</v>
      </c>
      <c r="J48" s="48">
        <f>10848</f>
        <v>10848</v>
      </c>
      <c r="K48" s="48"/>
      <c r="L48" s="48"/>
      <c r="M48" s="48"/>
      <c r="N48" s="49">
        <f>89152</f>
        <v>89152</v>
      </c>
      <c r="O48" s="49"/>
    </row>
    <row r="49" spans="1:15" s="1" customFormat="1" ht="33.75" customHeight="1">
      <c r="A49" s="47" t="s">
        <v>100</v>
      </c>
      <c r="B49" s="47"/>
      <c r="C49" s="47"/>
      <c r="D49" s="47"/>
      <c r="E49" s="47"/>
      <c r="F49" s="47"/>
      <c r="G49" s="16" t="s">
        <v>97</v>
      </c>
      <c r="H49" s="16" t="s">
        <v>105</v>
      </c>
      <c r="I49" s="17">
        <f>2755000</f>
        <v>2755000</v>
      </c>
      <c r="J49" s="48">
        <f>667066.35</f>
        <v>667066.35</v>
      </c>
      <c r="K49" s="48"/>
      <c r="L49" s="48"/>
      <c r="M49" s="48"/>
      <c r="N49" s="49">
        <f>2087933.65</f>
        <v>2087933.65</v>
      </c>
      <c r="O49" s="49"/>
    </row>
    <row r="50" spans="1:15" s="1" customFormat="1" ht="13.5" customHeight="1">
      <c r="A50" s="47" t="s">
        <v>106</v>
      </c>
      <c r="B50" s="47"/>
      <c r="C50" s="47"/>
      <c r="D50" s="47"/>
      <c r="E50" s="47"/>
      <c r="F50" s="47"/>
      <c r="G50" s="16" t="s">
        <v>97</v>
      </c>
      <c r="H50" s="16" t="s">
        <v>107</v>
      </c>
      <c r="I50" s="17">
        <f>166452</f>
        <v>166452</v>
      </c>
      <c r="J50" s="48">
        <f>83226</f>
        <v>83226</v>
      </c>
      <c r="K50" s="48"/>
      <c r="L50" s="48"/>
      <c r="M50" s="48"/>
      <c r="N50" s="49">
        <f>83226</f>
        <v>83226</v>
      </c>
      <c r="O50" s="49"/>
    </row>
    <row r="51" spans="1:15" s="1" customFormat="1" ht="13.5" customHeight="1">
      <c r="A51" s="47" t="s">
        <v>108</v>
      </c>
      <c r="B51" s="47"/>
      <c r="C51" s="47"/>
      <c r="D51" s="47"/>
      <c r="E51" s="47"/>
      <c r="F51" s="47"/>
      <c r="G51" s="16" t="s">
        <v>97</v>
      </c>
      <c r="H51" s="16" t="s">
        <v>109</v>
      </c>
      <c r="I51" s="17">
        <f>150000</f>
        <v>150000</v>
      </c>
      <c r="J51" s="50" t="s">
        <v>43</v>
      </c>
      <c r="K51" s="50"/>
      <c r="L51" s="50"/>
      <c r="M51" s="50"/>
      <c r="N51" s="49">
        <f>150000</f>
        <v>150000</v>
      </c>
      <c r="O51" s="49"/>
    </row>
    <row r="52" spans="1:15" s="1" customFormat="1" ht="13.5" customHeight="1">
      <c r="A52" s="47" t="s">
        <v>110</v>
      </c>
      <c r="B52" s="47"/>
      <c r="C52" s="47"/>
      <c r="D52" s="47"/>
      <c r="E52" s="47"/>
      <c r="F52" s="47"/>
      <c r="G52" s="16" t="s">
        <v>97</v>
      </c>
      <c r="H52" s="16" t="s">
        <v>111</v>
      </c>
      <c r="I52" s="17">
        <f>30000</f>
        <v>30000</v>
      </c>
      <c r="J52" s="50" t="s">
        <v>43</v>
      </c>
      <c r="K52" s="50"/>
      <c r="L52" s="50"/>
      <c r="M52" s="50"/>
      <c r="N52" s="49">
        <f>30000</f>
        <v>30000</v>
      </c>
      <c r="O52" s="49"/>
    </row>
    <row r="53" spans="1:15" s="1" customFormat="1" ht="24" customHeight="1">
      <c r="A53" s="47" t="s">
        <v>103</v>
      </c>
      <c r="B53" s="47"/>
      <c r="C53" s="47"/>
      <c r="D53" s="47"/>
      <c r="E53" s="47"/>
      <c r="F53" s="47"/>
      <c r="G53" s="16" t="s">
        <v>97</v>
      </c>
      <c r="H53" s="16" t="s">
        <v>112</v>
      </c>
      <c r="I53" s="17">
        <f>300000</f>
        <v>300000</v>
      </c>
      <c r="J53" s="50" t="s">
        <v>43</v>
      </c>
      <c r="K53" s="50"/>
      <c r="L53" s="50"/>
      <c r="M53" s="50"/>
      <c r="N53" s="49">
        <f>300000</f>
        <v>300000</v>
      </c>
      <c r="O53" s="49"/>
    </row>
    <row r="54" spans="1:15" s="1" customFormat="1" ht="13.5" customHeight="1">
      <c r="A54" s="47" t="s">
        <v>110</v>
      </c>
      <c r="B54" s="47"/>
      <c r="C54" s="47"/>
      <c r="D54" s="47"/>
      <c r="E54" s="47"/>
      <c r="F54" s="47"/>
      <c r="G54" s="16" t="s">
        <v>97</v>
      </c>
      <c r="H54" s="16" t="s">
        <v>113</v>
      </c>
      <c r="I54" s="17">
        <f>135000</f>
        <v>135000</v>
      </c>
      <c r="J54" s="48">
        <f>62198</f>
        <v>62198</v>
      </c>
      <c r="K54" s="48"/>
      <c r="L54" s="48"/>
      <c r="M54" s="48"/>
      <c r="N54" s="49">
        <f>72802</f>
        <v>72802</v>
      </c>
      <c r="O54" s="49"/>
    </row>
    <row r="55" spans="1:15" s="1" customFormat="1" ht="24" customHeight="1">
      <c r="A55" s="47" t="s">
        <v>114</v>
      </c>
      <c r="B55" s="47"/>
      <c r="C55" s="47"/>
      <c r="D55" s="47"/>
      <c r="E55" s="47"/>
      <c r="F55" s="47"/>
      <c r="G55" s="16" t="s">
        <v>97</v>
      </c>
      <c r="H55" s="16" t="s">
        <v>115</v>
      </c>
      <c r="I55" s="17">
        <f>12551</f>
        <v>12551</v>
      </c>
      <c r="J55" s="50" t="s">
        <v>43</v>
      </c>
      <c r="K55" s="50"/>
      <c r="L55" s="50"/>
      <c r="M55" s="50"/>
      <c r="N55" s="49">
        <f>12551</f>
        <v>12551</v>
      </c>
      <c r="O55" s="49"/>
    </row>
    <row r="56" spans="1:15" s="1" customFormat="1" ht="13.5" customHeight="1">
      <c r="A56" s="47" t="s">
        <v>116</v>
      </c>
      <c r="B56" s="47"/>
      <c r="C56" s="47"/>
      <c r="D56" s="47"/>
      <c r="E56" s="47"/>
      <c r="F56" s="47"/>
      <c r="G56" s="16" t="s">
        <v>97</v>
      </c>
      <c r="H56" s="16" t="s">
        <v>117</v>
      </c>
      <c r="I56" s="17">
        <f>100000</f>
        <v>100000</v>
      </c>
      <c r="J56" s="48">
        <f>68761</f>
        <v>68761</v>
      </c>
      <c r="K56" s="48"/>
      <c r="L56" s="48"/>
      <c r="M56" s="48"/>
      <c r="N56" s="49">
        <f>31239</f>
        <v>31239</v>
      </c>
      <c r="O56" s="49"/>
    </row>
    <row r="57" spans="1:15" s="1" customFormat="1" ht="13.5" customHeight="1">
      <c r="A57" s="47" t="s">
        <v>118</v>
      </c>
      <c r="B57" s="47"/>
      <c r="C57" s="47"/>
      <c r="D57" s="47"/>
      <c r="E57" s="47"/>
      <c r="F57" s="47"/>
      <c r="G57" s="16" t="s">
        <v>97</v>
      </c>
      <c r="H57" s="16" t="s">
        <v>119</v>
      </c>
      <c r="I57" s="17">
        <f>100000</f>
        <v>100000</v>
      </c>
      <c r="J57" s="48">
        <f>100000</f>
        <v>100000</v>
      </c>
      <c r="K57" s="48"/>
      <c r="L57" s="48"/>
      <c r="M57" s="48"/>
      <c r="N57" s="49">
        <f>0</f>
        <v>0</v>
      </c>
      <c r="O57" s="49"/>
    </row>
    <row r="58" spans="1:15" s="1" customFormat="1" ht="13.5" customHeight="1">
      <c r="A58" s="47" t="s">
        <v>120</v>
      </c>
      <c r="B58" s="47"/>
      <c r="C58" s="47"/>
      <c r="D58" s="47"/>
      <c r="E58" s="47"/>
      <c r="F58" s="47"/>
      <c r="G58" s="16" t="s">
        <v>97</v>
      </c>
      <c r="H58" s="16" t="s">
        <v>121</v>
      </c>
      <c r="I58" s="17">
        <f>5010000</f>
        <v>5010000</v>
      </c>
      <c r="J58" s="48">
        <f>1564505.61</f>
        <v>1564505.61</v>
      </c>
      <c r="K58" s="48"/>
      <c r="L58" s="48"/>
      <c r="M58" s="48"/>
      <c r="N58" s="49">
        <f>3445494.39</f>
        <v>3445494.39</v>
      </c>
      <c r="O58" s="49"/>
    </row>
    <row r="59" spans="1:15" s="1" customFormat="1" ht="13.5" customHeight="1">
      <c r="A59" s="47" t="s">
        <v>122</v>
      </c>
      <c r="B59" s="47"/>
      <c r="C59" s="47"/>
      <c r="D59" s="47"/>
      <c r="E59" s="47"/>
      <c r="F59" s="47"/>
      <c r="G59" s="16" t="s">
        <v>97</v>
      </c>
      <c r="H59" s="16" t="s">
        <v>123</v>
      </c>
      <c r="I59" s="17">
        <f>137100</f>
        <v>137100</v>
      </c>
      <c r="J59" s="50" t="s">
        <v>43</v>
      </c>
      <c r="K59" s="50"/>
      <c r="L59" s="50"/>
      <c r="M59" s="50"/>
      <c r="N59" s="49">
        <f>137100</f>
        <v>137100</v>
      </c>
      <c r="O59" s="49"/>
    </row>
    <row r="60" spans="1:15" s="1" customFormat="1" ht="24" customHeight="1">
      <c r="A60" s="47" t="s">
        <v>124</v>
      </c>
      <c r="B60" s="47"/>
      <c r="C60" s="47"/>
      <c r="D60" s="47"/>
      <c r="E60" s="47"/>
      <c r="F60" s="47"/>
      <c r="G60" s="16" t="s">
        <v>97</v>
      </c>
      <c r="H60" s="16" t="s">
        <v>125</v>
      </c>
      <c r="I60" s="17">
        <f>1513000</f>
        <v>1513000</v>
      </c>
      <c r="J60" s="48">
        <f>290345.1</f>
        <v>290345.1</v>
      </c>
      <c r="K60" s="48"/>
      <c r="L60" s="48"/>
      <c r="M60" s="48"/>
      <c r="N60" s="49">
        <f>1222654.9</f>
        <v>1222654.9</v>
      </c>
      <c r="O60" s="49"/>
    </row>
    <row r="61" spans="1:15" s="1" customFormat="1" ht="24" customHeight="1">
      <c r="A61" s="47" t="s">
        <v>126</v>
      </c>
      <c r="B61" s="47"/>
      <c r="C61" s="47"/>
      <c r="D61" s="47"/>
      <c r="E61" s="47"/>
      <c r="F61" s="47"/>
      <c r="G61" s="16" t="s">
        <v>97</v>
      </c>
      <c r="H61" s="16" t="s">
        <v>127</v>
      </c>
      <c r="I61" s="17">
        <f>21160.27</f>
        <v>21160.27</v>
      </c>
      <c r="J61" s="48">
        <f>10521.92</f>
        <v>10521.92</v>
      </c>
      <c r="K61" s="48"/>
      <c r="L61" s="48"/>
      <c r="M61" s="48"/>
      <c r="N61" s="49">
        <f>10638.35</f>
        <v>10638.35</v>
      </c>
      <c r="O61" s="49"/>
    </row>
    <row r="62" spans="1:15" s="1" customFormat="1" ht="13.5" customHeight="1">
      <c r="A62" s="47" t="s">
        <v>110</v>
      </c>
      <c r="B62" s="47"/>
      <c r="C62" s="47"/>
      <c r="D62" s="47"/>
      <c r="E62" s="47"/>
      <c r="F62" s="47"/>
      <c r="G62" s="16" t="s">
        <v>97</v>
      </c>
      <c r="H62" s="16" t="s">
        <v>128</v>
      </c>
      <c r="I62" s="17">
        <f>749000</f>
        <v>749000</v>
      </c>
      <c r="J62" s="48">
        <f>318077.73</f>
        <v>318077.73</v>
      </c>
      <c r="K62" s="48"/>
      <c r="L62" s="48"/>
      <c r="M62" s="48"/>
      <c r="N62" s="49">
        <f>430922.27</f>
        <v>430922.27</v>
      </c>
      <c r="O62" s="49"/>
    </row>
    <row r="63" spans="1:15" s="1" customFormat="1" ht="13.5" customHeight="1">
      <c r="A63" s="47" t="s">
        <v>116</v>
      </c>
      <c r="B63" s="47"/>
      <c r="C63" s="47"/>
      <c r="D63" s="47"/>
      <c r="E63" s="47"/>
      <c r="F63" s="47"/>
      <c r="G63" s="16" t="s">
        <v>97</v>
      </c>
      <c r="H63" s="16" t="s">
        <v>129</v>
      </c>
      <c r="I63" s="17">
        <f>4500</f>
        <v>4500</v>
      </c>
      <c r="J63" s="48">
        <f>2634</f>
        <v>2634</v>
      </c>
      <c r="K63" s="48"/>
      <c r="L63" s="48"/>
      <c r="M63" s="48"/>
      <c r="N63" s="49">
        <f>1866</f>
        <v>1866</v>
      </c>
      <c r="O63" s="49"/>
    </row>
    <row r="64" spans="1:15" s="1" customFormat="1" ht="13.5" customHeight="1">
      <c r="A64" s="47" t="s">
        <v>110</v>
      </c>
      <c r="B64" s="47"/>
      <c r="C64" s="47"/>
      <c r="D64" s="47"/>
      <c r="E64" s="47"/>
      <c r="F64" s="47"/>
      <c r="G64" s="16" t="s">
        <v>97</v>
      </c>
      <c r="H64" s="16" t="s">
        <v>130</v>
      </c>
      <c r="I64" s="17">
        <f>61000</f>
        <v>61000</v>
      </c>
      <c r="J64" s="48">
        <f>9468.16</f>
        <v>9468.16</v>
      </c>
      <c r="K64" s="48"/>
      <c r="L64" s="48"/>
      <c r="M64" s="48"/>
      <c r="N64" s="49">
        <f>51531.84</f>
        <v>51531.84</v>
      </c>
      <c r="O64" s="49"/>
    </row>
    <row r="65" spans="1:15" s="1" customFormat="1" ht="13.5" customHeight="1">
      <c r="A65" s="47" t="s">
        <v>131</v>
      </c>
      <c r="B65" s="47"/>
      <c r="C65" s="47"/>
      <c r="D65" s="47"/>
      <c r="E65" s="47"/>
      <c r="F65" s="47"/>
      <c r="G65" s="16" t="s">
        <v>97</v>
      </c>
      <c r="H65" s="16" t="s">
        <v>132</v>
      </c>
      <c r="I65" s="17">
        <f>1535467.62</f>
        <v>1535467.62</v>
      </c>
      <c r="J65" s="48">
        <f>855657.2</f>
        <v>855657.2</v>
      </c>
      <c r="K65" s="48"/>
      <c r="L65" s="48"/>
      <c r="M65" s="48"/>
      <c r="N65" s="49">
        <f>679810.42</f>
        <v>679810.42</v>
      </c>
      <c r="O65" s="49"/>
    </row>
    <row r="66" spans="1:15" s="1" customFormat="1" ht="13.5" customHeight="1">
      <c r="A66" s="47" t="s">
        <v>98</v>
      </c>
      <c r="B66" s="47"/>
      <c r="C66" s="47"/>
      <c r="D66" s="47"/>
      <c r="E66" s="47"/>
      <c r="F66" s="47"/>
      <c r="G66" s="16" t="s">
        <v>97</v>
      </c>
      <c r="H66" s="16" t="s">
        <v>133</v>
      </c>
      <c r="I66" s="17">
        <f>355000</f>
        <v>355000</v>
      </c>
      <c r="J66" s="48">
        <f>111216.41</f>
        <v>111216.41</v>
      </c>
      <c r="K66" s="48"/>
      <c r="L66" s="48"/>
      <c r="M66" s="48"/>
      <c r="N66" s="49">
        <f>243783.59</f>
        <v>243783.59</v>
      </c>
      <c r="O66" s="49"/>
    </row>
    <row r="67" spans="1:15" s="1" customFormat="1" ht="24" customHeight="1">
      <c r="A67" s="47" t="s">
        <v>103</v>
      </c>
      <c r="B67" s="47"/>
      <c r="C67" s="47"/>
      <c r="D67" s="47"/>
      <c r="E67" s="47"/>
      <c r="F67" s="47"/>
      <c r="G67" s="16" t="s">
        <v>97</v>
      </c>
      <c r="H67" s="16" t="s">
        <v>134</v>
      </c>
      <c r="I67" s="17">
        <f>4200</f>
        <v>4200</v>
      </c>
      <c r="J67" s="50" t="s">
        <v>43</v>
      </c>
      <c r="K67" s="50"/>
      <c r="L67" s="50"/>
      <c r="M67" s="50"/>
      <c r="N67" s="49">
        <f>4200</f>
        <v>4200</v>
      </c>
      <c r="O67" s="49"/>
    </row>
    <row r="68" spans="1:15" s="1" customFormat="1" ht="33.75" customHeight="1">
      <c r="A68" s="47" t="s">
        <v>100</v>
      </c>
      <c r="B68" s="47"/>
      <c r="C68" s="47"/>
      <c r="D68" s="47"/>
      <c r="E68" s="47"/>
      <c r="F68" s="47"/>
      <c r="G68" s="16" t="s">
        <v>97</v>
      </c>
      <c r="H68" s="16" t="s">
        <v>135</v>
      </c>
      <c r="I68" s="17">
        <f>107200</f>
        <v>107200</v>
      </c>
      <c r="J68" s="48">
        <f>25088.34</f>
        <v>25088.34</v>
      </c>
      <c r="K68" s="48"/>
      <c r="L68" s="48"/>
      <c r="M68" s="48"/>
      <c r="N68" s="49">
        <f>82111.66</f>
        <v>82111.66</v>
      </c>
      <c r="O68" s="49"/>
    </row>
    <row r="69" spans="1:15" s="1" customFormat="1" ht="13.5" customHeight="1">
      <c r="A69" s="47" t="s">
        <v>98</v>
      </c>
      <c r="B69" s="47"/>
      <c r="C69" s="47"/>
      <c r="D69" s="47"/>
      <c r="E69" s="47"/>
      <c r="F69" s="47"/>
      <c r="G69" s="16" t="s">
        <v>97</v>
      </c>
      <c r="H69" s="16" t="s">
        <v>136</v>
      </c>
      <c r="I69" s="17">
        <f>69218.9</f>
        <v>69218.9</v>
      </c>
      <c r="J69" s="48">
        <f>37154.74</f>
        <v>37154.74</v>
      </c>
      <c r="K69" s="48"/>
      <c r="L69" s="48"/>
      <c r="M69" s="48"/>
      <c r="N69" s="49">
        <f>32064.16</f>
        <v>32064.16</v>
      </c>
      <c r="O69" s="49"/>
    </row>
    <row r="70" spans="1:15" s="1" customFormat="1" ht="33.75" customHeight="1">
      <c r="A70" s="47" t="s">
        <v>100</v>
      </c>
      <c r="B70" s="47"/>
      <c r="C70" s="47"/>
      <c r="D70" s="47"/>
      <c r="E70" s="47"/>
      <c r="F70" s="47"/>
      <c r="G70" s="16" t="s">
        <v>97</v>
      </c>
      <c r="H70" s="16" t="s">
        <v>137</v>
      </c>
      <c r="I70" s="17">
        <f>20904.11</f>
        <v>20904.11</v>
      </c>
      <c r="J70" s="50" t="s">
        <v>43</v>
      </c>
      <c r="K70" s="50"/>
      <c r="L70" s="50"/>
      <c r="M70" s="50"/>
      <c r="N70" s="49">
        <f>20904.11</f>
        <v>20904.11</v>
      </c>
      <c r="O70" s="49"/>
    </row>
    <row r="71" spans="1:15" s="1" customFormat="1" ht="13.5" customHeight="1">
      <c r="A71" s="47" t="s">
        <v>110</v>
      </c>
      <c r="B71" s="47"/>
      <c r="C71" s="47"/>
      <c r="D71" s="47"/>
      <c r="E71" s="47"/>
      <c r="F71" s="47"/>
      <c r="G71" s="16" t="s">
        <v>97</v>
      </c>
      <c r="H71" s="16" t="s">
        <v>138</v>
      </c>
      <c r="I71" s="17">
        <f>27302.98</f>
        <v>27302.98</v>
      </c>
      <c r="J71" s="48">
        <f>6847.43</f>
        <v>6847.43</v>
      </c>
      <c r="K71" s="48"/>
      <c r="L71" s="48"/>
      <c r="M71" s="48"/>
      <c r="N71" s="49">
        <f>20455.55</f>
        <v>20455.55</v>
      </c>
      <c r="O71" s="49"/>
    </row>
    <row r="72" spans="1:15" s="1" customFormat="1" ht="13.5" customHeight="1">
      <c r="A72" s="47" t="s">
        <v>110</v>
      </c>
      <c r="B72" s="47"/>
      <c r="C72" s="47"/>
      <c r="D72" s="47"/>
      <c r="E72" s="47"/>
      <c r="F72" s="47"/>
      <c r="G72" s="16" t="s">
        <v>97</v>
      </c>
      <c r="H72" s="16" t="s">
        <v>139</v>
      </c>
      <c r="I72" s="17">
        <f>250000</f>
        <v>250000</v>
      </c>
      <c r="J72" s="48">
        <f>24697</f>
        <v>24697</v>
      </c>
      <c r="K72" s="48"/>
      <c r="L72" s="48"/>
      <c r="M72" s="48"/>
      <c r="N72" s="49">
        <f>225303</f>
        <v>225303</v>
      </c>
      <c r="O72" s="49"/>
    </row>
    <row r="73" spans="1:15" s="1" customFormat="1" ht="33.75" customHeight="1">
      <c r="A73" s="47" t="s">
        <v>140</v>
      </c>
      <c r="B73" s="47"/>
      <c r="C73" s="47"/>
      <c r="D73" s="47"/>
      <c r="E73" s="47"/>
      <c r="F73" s="47"/>
      <c r="G73" s="16" t="s">
        <v>97</v>
      </c>
      <c r="H73" s="16" t="s">
        <v>141</v>
      </c>
      <c r="I73" s="17">
        <f>22560</f>
        <v>22560</v>
      </c>
      <c r="J73" s="50" t="s">
        <v>43</v>
      </c>
      <c r="K73" s="50"/>
      <c r="L73" s="50"/>
      <c r="M73" s="50"/>
      <c r="N73" s="49">
        <f>22560</f>
        <v>22560</v>
      </c>
      <c r="O73" s="49"/>
    </row>
    <row r="74" spans="1:15" s="1" customFormat="1" ht="13.5" customHeight="1">
      <c r="A74" s="47" t="s">
        <v>110</v>
      </c>
      <c r="B74" s="47"/>
      <c r="C74" s="47"/>
      <c r="D74" s="47"/>
      <c r="E74" s="47"/>
      <c r="F74" s="47"/>
      <c r="G74" s="16" t="s">
        <v>97</v>
      </c>
      <c r="H74" s="16" t="s">
        <v>142</v>
      </c>
      <c r="I74" s="17">
        <f>1100</f>
        <v>1100</v>
      </c>
      <c r="J74" s="50" t="s">
        <v>43</v>
      </c>
      <c r="K74" s="50"/>
      <c r="L74" s="50"/>
      <c r="M74" s="50"/>
      <c r="N74" s="49">
        <f>1100</f>
        <v>1100</v>
      </c>
      <c r="O74" s="49"/>
    </row>
    <row r="75" spans="1:15" s="1" customFormat="1" ht="33.75" customHeight="1">
      <c r="A75" s="47" t="s">
        <v>140</v>
      </c>
      <c r="B75" s="47"/>
      <c r="C75" s="47"/>
      <c r="D75" s="47"/>
      <c r="E75" s="47"/>
      <c r="F75" s="47"/>
      <c r="G75" s="16" t="s">
        <v>97</v>
      </c>
      <c r="H75" s="16" t="s">
        <v>143</v>
      </c>
      <c r="I75" s="17">
        <f>5640</f>
        <v>5640</v>
      </c>
      <c r="J75" s="50" t="s">
        <v>43</v>
      </c>
      <c r="K75" s="50"/>
      <c r="L75" s="50"/>
      <c r="M75" s="50"/>
      <c r="N75" s="49">
        <f>5640</f>
        <v>5640</v>
      </c>
      <c r="O75" s="49"/>
    </row>
    <row r="76" spans="1:15" s="1" customFormat="1" ht="13.5" customHeight="1">
      <c r="A76" s="47" t="s">
        <v>110</v>
      </c>
      <c r="B76" s="47"/>
      <c r="C76" s="47"/>
      <c r="D76" s="47"/>
      <c r="E76" s="47"/>
      <c r="F76" s="47"/>
      <c r="G76" s="16" t="s">
        <v>97</v>
      </c>
      <c r="H76" s="16" t="s">
        <v>144</v>
      </c>
      <c r="I76" s="17">
        <f>275</f>
        <v>275</v>
      </c>
      <c r="J76" s="50" t="s">
        <v>43</v>
      </c>
      <c r="K76" s="50"/>
      <c r="L76" s="50"/>
      <c r="M76" s="50"/>
      <c r="N76" s="49">
        <f>275</f>
        <v>275</v>
      </c>
      <c r="O76" s="49"/>
    </row>
    <row r="77" spans="1:15" s="1" customFormat="1" ht="13.5" customHeight="1">
      <c r="A77" s="47" t="s">
        <v>120</v>
      </c>
      <c r="B77" s="47"/>
      <c r="C77" s="47"/>
      <c r="D77" s="47"/>
      <c r="E77" s="47"/>
      <c r="F77" s="47"/>
      <c r="G77" s="16" t="s">
        <v>97</v>
      </c>
      <c r="H77" s="16" t="s">
        <v>145</v>
      </c>
      <c r="I77" s="17">
        <f>1118021</f>
        <v>1118021</v>
      </c>
      <c r="J77" s="48">
        <f>549172.52</f>
        <v>549172.52</v>
      </c>
      <c r="K77" s="48"/>
      <c r="L77" s="48"/>
      <c r="M77" s="48"/>
      <c r="N77" s="49">
        <f>568848.48</f>
        <v>568848.48</v>
      </c>
      <c r="O77" s="49"/>
    </row>
    <row r="78" spans="1:15" s="1" customFormat="1" ht="24" customHeight="1">
      <c r="A78" s="47" t="s">
        <v>124</v>
      </c>
      <c r="B78" s="47"/>
      <c r="C78" s="47"/>
      <c r="D78" s="47"/>
      <c r="E78" s="47"/>
      <c r="F78" s="47"/>
      <c r="G78" s="16" t="s">
        <v>97</v>
      </c>
      <c r="H78" s="16" t="s">
        <v>146</v>
      </c>
      <c r="I78" s="17">
        <f>337643</f>
        <v>337643</v>
      </c>
      <c r="J78" s="48">
        <f>260832.28</f>
        <v>260832.28</v>
      </c>
      <c r="K78" s="48"/>
      <c r="L78" s="48"/>
      <c r="M78" s="48"/>
      <c r="N78" s="49">
        <f>76810.72</f>
        <v>76810.72</v>
      </c>
      <c r="O78" s="49"/>
    </row>
    <row r="79" spans="1:15" s="1" customFormat="1" ht="13.5" customHeight="1">
      <c r="A79" s="47" t="s">
        <v>120</v>
      </c>
      <c r="B79" s="47"/>
      <c r="C79" s="47"/>
      <c r="D79" s="47"/>
      <c r="E79" s="47"/>
      <c r="F79" s="47"/>
      <c r="G79" s="16" t="s">
        <v>97</v>
      </c>
      <c r="H79" s="16" t="s">
        <v>147</v>
      </c>
      <c r="I79" s="17">
        <f>1640368.03</f>
        <v>1640368.03</v>
      </c>
      <c r="J79" s="48">
        <f>554850.06</f>
        <v>554850.06</v>
      </c>
      <c r="K79" s="48"/>
      <c r="L79" s="48"/>
      <c r="M79" s="48"/>
      <c r="N79" s="49">
        <f>1085517.97</f>
        <v>1085517.97</v>
      </c>
      <c r="O79" s="49"/>
    </row>
    <row r="80" spans="1:15" s="1" customFormat="1" ht="24" customHeight="1">
      <c r="A80" s="47" t="s">
        <v>124</v>
      </c>
      <c r="B80" s="47"/>
      <c r="C80" s="47"/>
      <c r="D80" s="47"/>
      <c r="E80" s="47"/>
      <c r="F80" s="47"/>
      <c r="G80" s="16" t="s">
        <v>97</v>
      </c>
      <c r="H80" s="16" t="s">
        <v>148</v>
      </c>
      <c r="I80" s="17">
        <f>495391.97</f>
        <v>495391.97</v>
      </c>
      <c r="J80" s="48">
        <f>71195.52</f>
        <v>71195.52</v>
      </c>
      <c r="K80" s="48"/>
      <c r="L80" s="48"/>
      <c r="M80" s="48"/>
      <c r="N80" s="49">
        <f>424196.45</f>
        <v>424196.45</v>
      </c>
      <c r="O80" s="49"/>
    </row>
    <row r="81" spans="1:15" s="1" customFormat="1" ht="13.5" customHeight="1">
      <c r="A81" s="47" t="s">
        <v>98</v>
      </c>
      <c r="B81" s="47"/>
      <c r="C81" s="47"/>
      <c r="D81" s="47"/>
      <c r="E81" s="47"/>
      <c r="F81" s="47"/>
      <c r="G81" s="16" t="s">
        <v>97</v>
      </c>
      <c r="H81" s="16" t="s">
        <v>149</v>
      </c>
      <c r="I81" s="17">
        <f>209.24</f>
        <v>209.24</v>
      </c>
      <c r="J81" s="50" t="s">
        <v>43</v>
      </c>
      <c r="K81" s="50"/>
      <c r="L81" s="50"/>
      <c r="M81" s="50"/>
      <c r="N81" s="49">
        <f>209.24</f>
        <v>209.24</v>
      </c>
      <c r="O81" s="49"/>
    </row>
    <row r="82" spans="1:15" s="1" customFormat="1" ht="33.75" customHeight="1">
      <c r="A82" s="47" t="s">
        <v>100</v>
      </c>
      <c r="B82" s="47"/>
      <c r="C82" s="47"/>
      <c r="D82" s="47"/>
      <c r="E82" s="47"/>
      <c r="F82" s="47"/>
      <c r="G82" s="16" t="s">
        <v>97</v>
      </c>
      <c r="H82" s="16" t="s">
        <v>150</v>
      </c>
      <c r="I82" s="17">
        <f>63.2</f>
        <v>63.2</v>
      </c>
      <c r="J82" s="50" t="s">
        <v>43</v>
      </c>
      <c r="K82" s="50"/>
      <c r="L82" s="50"/>
      <c r="M82" s="50"/>
      <c r="N82" s="49">
        <f>63.2</f>
        <v>63.2</v>
      </c>
      <c r="O82" s="49"/>
    </row>
    <row r="83" spans="1:15" s="1" customFormat="1" ht="13.5" customHeight="1">
      <c r="A83" s="47" t="s">
        <v>110</v>
      </c>
      <c r="B83" s="47"/>
      <c r="C83" s="47"/>
      <c r="D83" s="47"/>
      <c r="E83" s="47"/>
      <c r="F83" s="47"/>
      <c r="G83" s="16" t="s">
        <v>97</v>
      </c>
      <c r="H83" s="16" t="s">
        <v>151</v>
      </c>
      <c r="I83" s="17">
        <f>26984.7</f>
        <v>26984.7</v>
      </c>
      <c r="J83" s="50" t="s">
        <v>43</v>
      </c>
      <c r="K83" s="50"/>
      <c r="L83" s="50"/>
      <c r="M83" s="50"/>
      <c r="N83" s="49">
        <f>26984.7</f>
        <v>26984.7</v>
      </c>
      <c r="O83" s="49"/>
    </row>
    <row r="84" spans="1:15" s="1" customFormat="1" ht="13.5" customHeight="1">
      <c r="A84" s="47" t="s">
        <v>110</v>
      </c>
      <c r="B84" s="47"/>
      <c r="C84" s="47"/>
      <c r="D84" s="47"/>
      <c r="E84" s="47"/>
      <c r="F84" s="47"/>
      <c r="G84" s="16" t="s">
        <v>97</v>
      </c>
      <c r="H84" s="16" t="s">
        <v>152</v>
      </c>
      <c r="I84" s="17">
        <f>3015.3</f>
        <v>3015.3</v>
      </c>
      <c r="J84" s="50" t="s">
        <v>43</v>
      </c>
      <c r="K84" s="50"/>
      <c r="L84" s="50"/>
      <c r="M84" s="50"/>
      <c r="N84" s="49">
        <f>3015.3</f>
        <v>3015.3</v>
      </c>
      <c r="O84" s="49"/>
    </row>
    <row r="85" spans="1:15" s="1" customFormat="1" ht="13.5" customHeight="1">
      <c r="A85" s="47" t="s">
        <v>110</v>
      </c>
      <c r="B85" s="47"/>
      <c r="C85" s="47"/>
      <c r="D85" s="47"/>
      <c r="E85" s="47"/>
      <c r="F85" s="47"/>
      <c r="G85" s="16" t="s">
        <v>97</v>
      </c>
      <c r="H85" s="16" t="s">
        <v>153</v>
      </c>
      <c r="I85" s="17">
        <f>1840000</f>
        <v>1840000</v>
      </c>
      <c r="J85" s="48">
        <f>416404.8</f>
        <v>416404.8</v>
      </c>
      <c r="K85" s="48"/>
      <c r="L85" s="48"/>
      <c r="M85" s="48"/>
      <c r="N85" s="49">
        <f>1423595.2</f>
        <v>1423595.2</v>
      </c>
      <c r="O85" s="49"/>
    </row>
    <row r="86" spans="1:15" s="1" customFormat="1" ht="13.5" customHeight="1">
      <c r="A86" s="47" t="s">
        <v>110</v>
      </c>
      <c r="B86" s="47"/>
      <c r="C86" s="47"/>
      <c r="D86" s="47"/>
      <c r="E86" s="47"/>
      <c r="F86" s="47"/>
      <c r="G86" s="16" t="s">
        <v>97</v>
      </c>
      <c r="H86" s="16" t="s">
        <v>154</v>
      </c>
      <c r="I86" s="17">
        <f>8358836.54</f>
        <v>8358836.54</v>
      </c>
      <c r="J86" s="48">
        <f>1937695.8</f>
        <v>1937695.8</v>
      </c>
      <c r="K86" s="48"/>
      <c r="L86" s="48"/>
      <c r="M86" s="48"/>
      <c r="N86" s="49">
        <f>6421140.74</f>
        <v>6421140.74</v>
      </c>
      <c r="O86" s="49"/>
    </row>
    <row r="87" spans="1:15" s="1" customFormat="1" ht="13.5" customHeight="1">
      <c r="A87" s="47" t="s">
        <v>110</v>
      </c>
      <c r="B87" s="47"/>
      <c r="C87" s="47"/>
      <c r="D87" s="47"/>
      <c r="E87" s="47"/>
      <c r="F87" s="47"/>
      <c r="G87" s="16" t="s">
        <v>97</v>
      </c>
      <c r="H87" s="16" t="s">
        <v>155</v>
      </c>
      <c r="I87" s="17">
        <f>320000</f>
        <v>320000</v>
      </c>
      <c r="J87" s="48">
        <f>275271.68</f>
        <v>275271.68</v>
      </c>
      <c r="K87" s="48"/>
      <c r="L87" s="48"/>
      <c r="M87" s="48"/>
      <c r="N87" s="49">
        <f>44728.32</f>
        <v>44728.32</v>
      </c>
      <c r="O87" s="49"/>
    </row>
    <row r="88" spans="1:15" s="1" customFormat="1" ht="24" customHeight="1">
      <c r="A88" s="47" t="s">
        <v>126</v>
      </c>
      <c r="B88" s="47"/>
      <c r="C88" s="47"/>
      <c r="D88" s="47"/>
      <c r="E88" s="47"/>
      <c r="F88" s="47"/>
      <c r="G88" s="16" t="s">
        <v>97</v>
      </c>
      <c r="H88" s="16" t="s">
        <v>156</v>
      </c>
      <c r="I88" s="17">
        <f>517956.48</f>
        <v>517956.48</v>
      </c>
      <c r="J88" s="48">
        <f>79200.94</f>
        <v>79200.94</v>
      </c>
      <c r="K88" s="48"/>
      <c r="L88" s="48"/>
      <c r="M88" s="48"/>
      <c r="N88" s="49">
        <f>438755.54</f>
        <v>438755.54</v>
      </c>
      <c r="O88" s="49"/>
    </row>
    <row r="89" spans="1:15" s="1" customFormat="1" ht="13.5" customHeight="1">
      <c r="A89" s="47" t="s">
        <v>110</v>
      </c>
      <c r="B89" s="47"/>
      <c r="C89" s="47"/>
      <c r="D89" s="47"/>
      <c r="E89" s="47"/>
      <c r="F89" s="47"/>
      <c r="G89" s="16" t="s">
        <v>97</v>
      </c>
      <c r="H89" s="16" t="s">
        <v>157</v>
      </c>
      <c r="I89" s="17">
        <f>565450.06</f>
        <v>565450.06</v>
      </c>
      <c r="J89" s="48">
        <f>3750</f>
        <v>3750</v>
      </c>
      <c r="K89" s="48"/>
      <c r="L89" s="48"/>
      <c r="M89" s="48"/>
      <c r="N89" s="49">
        <f>561700.06</f>
        <v>561700.06</v>
      </c>
      <c r="O89" s="49"/>
    </row>
    <row r="90" spans="1:15" s="1" customFormat="1" ht="13.5" customHeight="1">
      <c r="A90" s="47" t="s">
        <v>131</v>
      </c>
      <c r="B90" s="47"/>
      <c r="C90" s="47"/>
      <c r="D90" s="47"/>
      <c r="E90" s="47"/>
      <c r="F90" s="47"/>
      <c r="G90" s="16" t="s">
        <v>97</v>
      </c>
      <c r="H90" s="16" t="s">
        <v>158</v>
      </c>
      <c r="I90" s="17">
        <f>496154.94</f>
        <v>496154.94</v>
      </c>
      <c r="J90" s="48">
        <f>6519.15</f>
        <v>6519.15</v>
      </c>
      <c r="K90" s="48"/>
      <c r="L90" s="48"/>
      <c r="M90" s="48"/>
      <c r="N90" s="49">
        <f>489635.79</f>
        <v>489635.79</v>
      </c>
      <c r="O90" s="49"/>
    </row>
    <row r="91" spans="1:15" s="1" customFormat="1" ht="13.5" customHeight="1">
      <c r="A91" s="47" t="s">
        <v>106</v>
      </c>
      <c r="B91" s="47"/>
      <c r="C91" s="47"/>
      <c r="D91" s="47"/>
      <c r="E91" s="47"/>
      <c r="F91" s="47"/>
      <c r="G91" s="16" t="s">
        <v>97</v>
      </c>
      <c r="H91" s="16" t="s">
        <v>159</v>
      </c>
      <c r="I91" s="17">
        <f>11661966.8</f>
        <v>11661966.8</v>
      </c>
      <c r="J91" s="50" t="s">
        <v>43</v>
      </c>
      <c r="K91" s="50"/>
      <c r="L91" s="50"/>
      <c r="M91" s="50"/>
      <c r="N91" s="49">
        <f>11661966.8</f>
        <v>11661966.8</v>
      </c>
      <c r="O91" s="49"/>
    </row>
    <row r="92" spans="1:15" s="1" customFormat="1" ht="13.5" customHeight="1">
      <c r="A92" s="47" t="s">
        <v>106</v>
      </c>
      <c r="B92" s="47"/>
      <c r="C92" s="47"/>
      <c r="D92" s="47"/>
      <c r="E92" s="47"/>
      <c r="F92" s="47"/>
      <c r="G92" s="16" t="s">
        <v>97</v>
      </c>
      <c r="H92" s="16" t="s">
        <v>160</v>
      </c>
      <c r="I92" s="17">
        <f>6629724</f>
        <v>6629724</v>
      </c>
      <c r="J92" s="50" t="s">
        <v>43</v>
      </c>
      <c r="K92" s="50"/>
      <c r="L92" s="50"/>
      <c r="M92" s="50"/>
      <c r="N92" s="49">
        <f>6629724</f>
        <v>6629724</v>
      </c>
      <c r="O92" s="49"/>
    </row>
    <row r="93" spans="1:15" s="1" customFormat="1" ht="13.5" customHeight="1">
      <c r="A93" s="47" t="s">
        <v>106</v>
      </c>
      <c r="B93" s="47"/>
      <c r="C93" s="47"/>
      <c r="D93" s="47"/>
      <c r="E93" s="47"/>
      <c r="F93" s="47"/>
      <c r="G93" s="16" t="s">
        <v>97</v>
      </c>
      <c r="H93" s="16" t="s">
        <v>161</v>
      </c>
      <c r="I93" s="17">
        <f>3658.76</f>
        <v>3658.76</v>
      </c>
      <c r="J93" s="48">
        <f>903.25</f>
        <v>903.25</v>
      </c>
      <c r="K93" s="48"/>
      <c r="L93" s="48"/>
      <c r="M93" s="48"/>
      <c r="N93" s="49">
        <f>2755.51</f>
        <v>2755.51</v>
      </c>
      <c r="O93" s="49"/>
    </row>
    <row r="94" spans="1:15" s="1" customFormat="1" ht="13.5" customHeight="1">
      <c r="A94" s="47" t="s">
        <v>106</v>
      </c>
      <c r="B94" s="47"/>
      <c r="C94" s="47"/>
      <c r="D94" s="47"/>
      <c r="E94" s="47"/>
      <c r="F94" s="47"/>
      <c r="G94" s="16" t="s">
        <v>97</v>
      </c>
      <c r="H94" s="16" t="s">
        <v>162</v>
      </c>
      <c r="I94" s="17">
        <f>736636.01</f>
        <v>736636.01</v>
      </c>
      <c r="J94" s="50" t="s">
        <v>43</v>
      </c>
      <c r="K94" s="50"/>
      <c r="L94" s="50"/>
      <c r="M94" s="50"/>
      <c r="N94" s="49">
        <f>736636.01</f>
        <v>736636.01</v>
      </c>
      <c r="O94" s="49"/>
    </row>
    <row r="95" spans="1:15" s="1" customFormat="1" ht="13.5" customHeight="1">
      <c r="A95" s="47" t="s">
        <v>106</v>
      </c>
      <c r="B95" s="47"/>
      <c r="C95" s="47"/>
      <c r="D95" s="47"/>
      <c r="E95" s="47"/>
      <c r="F95" s="47"/>
      <c r="G95" s="16" t="s">
        <v>97</v>
      </c>
      <c r="H95" s="16" t="s">
        <v>163</v>
      </c>
      <c r="I95" s="17">
        <f>2439.17</f>
        <v>2439.17</v>
      </c>
      <c r="J95" s="48">
        <f>627.17</f>
        <v>627.17</v>
      </c>
      <c r="K95" s="48"/>
      <c r="L95" s="48"/>
      <c r="M95" s="48"/>
      <c r="N95" s="49">
        <f>1812</f>
        <v>1812</v>
      </c>
      <c r="O95" s="49"/>
    </row>
    <row r="96" spans="1:15" s="1" customFormat="1" ht="13.5" customHeight="1">
      <c r="A96" s="47" t="s">
        <v>110</v>
      </c>
      <c r="B96" s="47"/>
      <c r="C96" s="47"/>
      <c r="D96" s="47"/>
      <c r="E96" s="47"/>
      <c r="F96" s="47"/>
      <c r="G96" s="16" t="s">
        <v>97</v>
      </c>
      <c r="H96" s="16" t="s">
        <v>164</v>
      </c>
      <c r="I96" s="17">
        <f>663640.07</f>
        <v>663640.07</v>
      </c>
      <c r="J96" s="48">
        <f>507490</f>
        <v>507490</v>
      </c>
      <c r="K96" s="48"/>
      <c r="L96" s="48"/>
      <c r="M96" s="48"/>
      <c r="N96" s="49">
        <f>156150.07</f>
        <v>156150.07</v>
      </c>
      <c r="O96" s="49"/>
    </row>
    <row r="97" spans="1:15" s="1" customFormat="1" ht="13.5" customHeight="1">
      <c r="A97" s="47" t="s">
        <v>131</v>
      </c>
      <c r="B97" s="47"/>
      <c r="C97" s="47"/>
      <c r="D97" s="47"/>
      <c r="E97" s="47"/>
      <c r="F97" s="47"/>
      <c r="G97" s="16" t="s">
        <v>97</v>
      </c>
      <c r="H97" s="16" t="s">
        <v>165</v>
      </c>
      <c r="I97" s="17">
        <f>1051966.45</f>
        <v>1051966.45</v>
      </c>
      <c r="J97" s="48">
        <f>560534.09</f>
        <v>560534.09</v>
      </c>
      <c r="K97" s="48"/>
      <c r="L97" s="48"/>
      <c r="M97" s="48"/>
      <c r="N97" s="49">
        <f>491432.36</f>
        <v>491432.36</v>
      </c>
      <c r="O97" s="49"/>
    </row>
    <row r="98" spans="1:15" s="1" customFormat="1" ht="13.5" customHeight="1">
      <c r="A98" s="47" t="s">
        <v>110</v>
      </c>
      <c r="B98" s="47"/>
      <c r="C98" s="47"/>
      <c r="D98" s="47"/>
      <c r="E98" s="47"/>
      <c r="F98" s="47"/>
      <c r="G98" s="16" t="s">
        <v>97</v>
      </c>
      <c r="H98" s="16" t="s">
        <v>166</v>
      </c>
      <c r="I98" s="17">
        <f>90914.89</f>
        <v>90914.89</v>
      </c>
      <c r="J98" s="48">
        <f>3548.77</f>
        <v>3548.77</v>
      </c>
      <c r="K98" s="48"/>
      <c r="L98" s="48"/>
      <c r="M98" s="48"/>
      <c r="N98" s="49">
        <f>87366.12</f>
        <v>87366.12</v>
      </c>
      <c r="O98" s="49"/>
    </row>
    <row r="99" spans="1:15" s="1" customFormat="1" ht="13.5" customHeight="1">
      <c r="A99" s="47" t="s">
        <v>110</v>
      </c>
      <c r="B99" s="47"/>
      <c r="C99" s="47"/>
      <c r="D99" s="47"/>
      <c r="E99" s="47"/>
      <c r="F99" s="47"/>
      <c r="G99" s="16" t="s">
        <v>97</v>
      </c>
      <c r="H99" s="16" t="s">
        <v>167</v>
      </c>
      <c r="I99" s="17">
        <f>1165000</f>
        <v>1165000</v>
      </c>
      <c r="J99" s="48">
        <f>158923</f>
        <v>158923</v>
      </c>
      <c r="K99" s="48"/>
      <c r="L99" s="48"/>
      <c r="M99" s="48"/>
      <c r="N99" s="49">
        <f>1006077</f>
        <v>1006077</v>
      </c>
      <c r="O99" s="49"/>
    </row>
    <row r="100" spans="1:15" s="1" customFormat="1" ht="13.5" customHeight="1">
      <c r="A100" s="47" t="s">
        <v>110</v>
      </c>
      <c r="B100" s="47"/>
      <c r="C100" s="47"/>
      <c r="D100" s="47"/>
      <c r="E100" s="47"/>
      <c r="F100" s="47"/>
      <c r="G100" s="16" t="s">
        <v>97</v>
      </c>
      <c r="H100" s="16" t="s">
        <v>168</v>
      </c>
      <c r="I100" s="17">
        <f>22808</f>
        <v>22808</v>
      </c>
      <c r="J100" s="50" t="s">
        <v>43</v>
      </c>
      <c r="K100" s="50"/>
      <c r="L100" s="50"/>
      <c r="M100" s="50"/>
      <c r="N100" s="49">
        <f>22808</f>
        <v>22808</v>
      </c>
      <c r="O100" s="49"/>
    </row>
    <row r="101" spans="1:15" s="1" customFormat="1" ht="13.5" customHeight="1">
      <c r="A101" s="47" t="s">
        <v>110</v>
      </c>
      <c r="B101" s="47"/>
      <c r="C101" s="47"/>
      <c r="D101" s="47"/>
      <c r="E101" s="47"/>
      <c r="F101" s="47"/>
      <c r="G101" s="16" t="s">
        <v>97</v>
      </c>
      <c r="H101" s="16" t="s">
        <v>169</v>
      </c>
      <c r="I101" s="17">
        <f>916500</f>
        <v>916500</v>
      </c>
      <c r="J101" s="48">
        <f>317732.52</f>
        <v>317732.52</v>
      </c>
      <c r="K101" s="48"/>
      <c r="L101" s="48"/>
      <c r="M101" s="48"/>
      <c r="N101" s="49">
        <f>598767.48</f>
        <v>598767.48</v>
      </c>
      <c r="O101" s="49"/>
    </row>
    <row r="102" spans="1:15" s="1" customFormat="1" ht="13.5" customHeight="1">
      <c r="A102" s="47" t="s">
        <v>106</v>
      </c>
      <c r="B102" s="47"/>
      <c r="C102" s="47"/>
      <c r="D102" s="47"/>
      <c r="E102" s="47"/>
      <c r="F102" s="47"/>
      <c r="G102" s="16" t="s">
        <v>97</v>
      </c>
      <c r="H102" s="16" t="s">
        <v>170</v>
      </c>
      <c r="I102" s="17">
        <f>2460500</f>
        <v>2460500</v>
      </c>
      <c r="J102" s="50" t="s">
        <v>43</v>
      </c>
      <c r="K102" s="50"/>
      <c r="L102" s="50"/>
      <c r="M102" s="50"/>
      <c r="N102" s="49">
        <f>2460500</f>
        <v>2460500</v>
      </c>
      <c r="O102" s="49"/>
    </row>
    <row r="103" spans="1:15" s="1" customFormat="1" ht="13.5" customHeight="1">
      <c r="A103" s="47" t="s">
        <v>106</v>
      </c>
      <c r="B103" s="47"/>
      <c r="C103" s="47"/>
      <c r="D103" s="47"/>
      <c r="E103" s="47"/>
      <c r="F103" s="47"/>
      <c r="G103" s="16" t="s">
        <v>97</v>
      </c>
      <c r="H103" s="16" t="s">
        <v>171</v>
      </c>
      <c r="I103" s="17">
        <f>1230270</f>
        <v>1230270</v>
      </c>
      <c r="J103" s="50" t="s">
        <v>43</v>
      </c>
      <c r="K103" s="50"/>
      <c r="L103" s="50"/>
      <c r="M103" s="50"/>
      <c r="N103" s="49">
        <f>1230270</f>
        <v>1230270</v>
      </c>
      <c r="O103" s="49"/>
    </row>
    <row r="104" spans="1:15" s="1" customFormat="1" ht="13.5" customHeight="1">
      <c r="A104" s="47" t="s">
        <v>110</v>
      </c>
      <c r="B104" s="47"/>
      <c r="C104" s="47"/>
      <c r="D104" s="47"/>
      <c r="E104" s="47"/>
      <c r="F104" s="47"/>
      <c r="G104" s="16" t="s">
        <v>97</v>
      </c>
      <c r="H104" s="16" t="s">
        <v>172</v>
      </c>
      <c r="I104" s="17">
        <f>796984.7</f>
        <v>796984.7</v>
      </c>
      <c r="J104" s="50" t="s">
        <v>43</v>
      </c>
      <c r="K104" s="50"/>
      <c r="L104" s="50"/>
      <c r="M104" s="50"/>
      <c r="N104" s="49">
        <f>796984.7</f>
        <v>796984.7</v>
      </c>
      <c r="O104" s="49"/>
    </row>
    <row r="105" spans="1:15" s="1" customFormat="1" ht="13.5" customHeight="1">
      <c r="A105" s="47" t="s">
        <v>106</v>
      </c>
      <c r="B105" s="47"/>
      <c r="C105" s="47"/>
      <c r="D105" s="47"/>
      <c r="E105" s="47"/>
      <c r="F105" s="47"/>
      <c r="G105" s="16" t="s">
        <v>97</v>
      </c>
      <c r="H105" s="16" t="s">
        <v>173</v>
      </c>
      <c r="I105" s="17">
        <f>294193</f>
        <v>294193</v>
      </c>
      <c r="J105" s="48">
        <f>147096.5</f>
        <v>147096.5</v>
      </c>
      <c r="K105" s="48"/>
      <c r="L105" s="48"/>
      <c r="M105" s="48"/>
      <c r="N105" s="49">
        <f>147096.5</f>
        <v>147096.5</v>
      </c>
      <c r="O105" s="49"/>
    </row>
    <row r="106" spans="1:15" s="1" customFormat="1" ht="13.5" customHeight="1">
      <c r="A106" s="47" t="s">
        <v>106</v>
      </c>
      <c r="B106" s="47"/>
      <c r="C106" s="47"/>
      <c r="D106" s="47"/>
      <c r="E106" s="47"/>
      <c r="F106" s="47"/>
      <c r="G106" s="16" t="s">
        <v>97</v>
      </c>
      <c r="H106" s="16" t="s">
        <v>174</v>
      </c>
      <c r="I106" s="17">
        <f>545795.2</f>
        <v>545795.2</v>
      </c>
      <c r="J106" s="48">
        <f>272897.6</f>
        <v>272897.6</v>
      </c>
      <c r="K106" s="48"/>
      <c r="L106" s="48"/>
      <c r="M106" s="48"/>
      <c r="N106" s="49">
        <f>272897.6</f>
        <v>272897.6</v>
      </c>
      <c r="O106" s="49"/>
    </row>
    <row r="107" spans="1:15" s="1" customFormat="1" ht="13.5" customHeight="1">
      <c r="A107" s="47" t="s">
        <v>120</v>
      </c>
      <c r="B107" s="47"/>
      <c r="C107" s="47"/>
      <c r="D107" s="47"/>
      <c r="E107" s="47"/>
      <c r="F107" s="47"/>
      <c r="G107" s="16" t="s">
        <v>97</v>
      </c>
      <c r="H107" s="16" t="s">
        <v>175</v>
      </c>
      <c r="I107" s="17">
        <f>19099.95</f>
        <v>19099.95</v>
      </c>
      <c r="J107" s="50" t="s">
        <v>43</v>
      </c>
      <c r="K107" s="50"/>
      <c r="L107" s="50"/>
      <c r="M107" s="50"/>
      <c r="N107" s="49">
        <f>19099.95</f>
        <v>19099.95</v>
      </c>
      <c r="O107" s="49"/>
    </row>
    <row r="108" spans="1:15" s="1" customFormat="1" ht="24" customHeight="1">
      <c r="A108" s="47" t="s">
        <v>124</v>
      </c>
      <c r="B108" s="47"/>
      <c r="C108" s="47"/>
      <c r="D108" s="47"/>
      <c r="E108" s="47"/>
      <c r="F108" s="47"/>
      <c r="G108" s="16" t="s">
        <v>97</v>
      </c>
      <c r="H108" s="16" t="s">
        <v>176</v>
      </c>
      <c r="I108" s="17">
        <f>5768.19</f>
        <v>5768.19</v>
      </c>
      <c r="J108" s="50" t="s">
        <v>43</v>
      </c>
      <c r="K108" s="50"/>
      <c r="L108" s="50"/>
      <c r="M108" s="50"/>
      <c r="N108" s="49">
        <f>5768.19</f>
        <v>5768.19</v>
      </c>
      <c r="O108" s="49"/>
    </row>
    <row r="109" spans="1:15" s="1" customFormat="1" ht="13.5" customHeight="1">
      <c r="A109" s="47" t="s">
        <v>110</v>
      </c>
      <c r="B109" s="47"/>
      <c r="C109" s="47"/>
      <c r="D109" s="47"/>
      <c r="E109" s="47"/>
      <c r="F109" s="47"/>
      <c r="G109" s="16" t="s">
        <v>97</v>
      </c>
      <c r="H109" s="16" t="s">
        <v>177</v>
      </c>
      <c r="I109" s="17">
        <f>23049</f>
        <v>23049</v>
      </c>
      <c r="J109" s="50" t="s">
        <v>43</v>
      </c>
      <c r="K109" s="50"/>
      <c r="L109" s="50"/>
      <c r="M109" s="50"/>
      <c r="N109" s="49">
        <f>23049</f>
        <v>23049</v>
      </c>
      <c r="O109" s="49"/>
    </row>
    <row r="110" spans="1:15" s="1" customFormat="1" ht="13.5" customHeight="1">
      <c r="A110" s="47" t="s">
        <v>110</v>
      </c>
      <c r="B110" s="47"/>
      <c r="C110" s="47"/>
      <c r="D110" s="47"/>
      <c r="E110" s="47"/>
      <c r="F110" s="47"/>
      <c r="G110" s="16" t="s">
        <v>97</v>
      </c>
      <c r="H110" s="16" t="s">
        <v>178</v>
      </c>
      <c r="I110" s="17">
        <f>89500</f>
        <v>89500</v>
      </c>
      <c r="J110" s="48">
        <f>11084.6</f>
        <v>11084.6</v>
      </c>
      <c r="K110" s="48"/>
      <c r="L110" s="48"/>
      <c r="M110" s="48"/>
      <c r="N110" s="49">
        <f>78415.4</f>
        <v>78415.4</v>
      </c>
      <c r="O110" s="49"/>
    </row>
    <row r="111" spans="1:15" s="1" customFormat="1" ht="13.5" customHeight="1">
      <c r="A111" s="47" t="s">
        <v>110</v>
      </c>
      <c r="B111" s="47"/>
      <c r="C111" s="47"/>
      <c r="D111" s="47"/>
      <c r="E111" s="47"/>
      <c r="F111" s="47"/>
      <c r="G111" s="16" t="s">
        <v>97</v>
      </c>
      <c r="H111" s="16" t="s">
        <v>179</v>
      </c>
      <c r="I111" s="17">
        <f>874150</f>
        <v>874150</v>
      </c>
      <c r="J111" s="48">
        <f>343954.4</f>
        <v>343954.4</v>
      </c>
      <c r="K111" s="48"/>
      <c r="L111" s="48"/>
      <c r="M111" s="48"/>
      <c r="N111" s="49">
        <f>530195.6</f>
        <v>530195.6</v>
      </c>
      <c r="O111" s="49"/>
    </row>
    <row r="112" spans="1:15" s="1" customFormat="1" ht="13.5" customHeight="1">
      <c r="A112" s="47" t="s">
        <v>120</v>
      </c>
      <c r="B112" s="47"/>
      <c r="C112" s="47"/>
      <c r="D112" s="47"/>
      <c r="E112" s="47"/>
      <c r="F112" s="47"/>
      <c r="G112" s="16" t="s">
        <v>97</v>
      </c>
      <c r="H112" s="16" t="s">
        <v>180</v>
      </c>
      <c r="I112" s="17">
        <f>4015908.91</f>
        <v>4015908.91</v>
      </c>
      <c r="J112" s="48">
        <f>1362268.51</f>
        <v>1362268.51</v>
      </c>
      <c r="K112" s="48"/>
      <c r="L112" s="48"/>
      <c r="M112" s="48"/>
      <c r="N112" s="49">
        <f>2653640.4</f>
        <v>2653640.4</v>
      </c>
      <c r="O112" s="49"/>
    </row>
    <row r="113" spans="1:15" s="1" customFormat="1" ht="13.5" customHeight="1">
      <c r="A113" s="47" t="s">
        <v>122</v>
      </c>
      <c r="B113" s="47"/>
      <c r="C113" s="47"/>
      <c r="D113" s="47"/>
      <c r="E113" s="47"/>
      <c r="F113" s="47"/>
      <c r="G113" s="16" t="s">
        <v>97</v>
      </c>
      <c r="H113" s="16" t="s">
        <v>181</v>
      </c>
      <c r="I113" s="17">
        <f>285000</f>
        <v>285000</v>
      </c>
      <c r="J113" s="48">
        <f>5364</f>
        <v>5364</v>
      </c>
      <c r="K113" s="48"/>
      <c r="L113" s="48"/>
      <c r="M113" s="48"/>
      <c r="N113" s="49">
        <f>279636</f>
        <v>279636</v>
      </c>
      <c r="O113" s="49"/>
    </row>
    <row r="114" spans="1:15" s="1" customFormat="1" ht="24" customHeight="1">
      <c r="A114" s="47" t="s">
        <v>124</v>
      </c>
      <c r="B114" s="47"/>
      <c r="C114" s="47"/>
      <c r="D114" s="47"/>
      <c r="E114" s="47"/>
      <c r="F114" s="47"/>
      <c r="G114" s="16" t="s">
        <v>97</v>
      </c>
      <c r="H114" s="16" t="s">
        <v>182</v>
      </c>
      <c r="I114" s="17">
        <f>1118394.61</f>
        <v>1118394.61</v>
      </c>
      <c r="J114" s="48">
        <f>268257.43</f>
        <v>268257.43</v>
      </c>
      <c r="K114" s="48"/>
      <c r="L114" s="48"/>
      <c r="M114" s="48"/>
      <c r="N114" s="49">
        <f>850137.18</f>
        <v>850137.18</v>
      </c>
      <c r="O114" s="49"/>
    </row>
    <row r="115" spans="1:15" s="1" customFormat="1" ht="24" customHeight="1">
      <c r="A115" s="47" t="s">
        <v>126</v>
      </c>
      <c r="B115" s="47"/>
      <c r="C115" s="47"/>
      <c r="D115" s="47"/>
      <c r="E115" s="47"/>
      <c r="F115" s="47"/>
      <c r="G115" s="16" t="s">
        <v>97</v>
      </c>
      <c r="H115" s="16" t="s">
        <v>183</v>
      </c>
      <c r="I115" s="17">
        <f>48402.21</f>
        <v>48402.21</v>
      </c>
      <c r="J115" s="48">
        <f>9737.72</f>
        <v>9737.72</v>
      </c>
      <c r="K115" s="48"/>
      <c r="L115" s="48"/>
      <c r="M115" s="48"/>
      <c r="N115" s="49">
        <f>38664.49</f>
        <v>38664.49</v>
      </c>
      <c r="O115" s="49"/>
    </row>
    <row r="116" spans="1:15" s="1" customFormat="1" ht="13.5" customHeight="1">
      <c r="A116" s="47" t="s">
        <v>110</v>
      </c>
      <c r="B116" s="47"/>
      <c r="C116" s="47"/>
      <c r="D116" s="47"/>
      <c r="E116" s="47"/>
      <c r="F116" s="47"/>
      <c r="G116" s="16" t="s">
        <v>97</v>
      </c>
      <c r="H116" s="16" t="s">
        <v>184</v>
      </c>
      <c r="I116" s="17">
        <f>856000</f>
        <v>856000</v>
      </c>
      <c r="J116" s="48">
        <f>702562.65</f>
        <v>702562.65</v>
      </c>
      <c r="K116" s="48"/>
      <c r="L116" s="48"/>
      <c r="M116" s="48"/>
      <c r="N116" s="49">
        <f>153437.35</f>
        <v>153437.35</v>
      </c>
      <c r="O116" s="49"/>
    </row>
    <row r="117" spans="1:15" s="1" customFormat="1" ht="13.5" customHeight="1">
      <c r="A117" s="47" t="s">
        <v>131</v>
      </c>
      <c r="B117" s="47"/>
      <c r="C117" s="47"/>
      <c r="D117" s="47"/>
      <c r="E117" s="47"/>
      <c r="F117" s="47"/>
      <c r="G117" s="16" t="s">
        <v>97</v>
      </c>
      <c r="H117" s="16" t="s">
        <v>185</v>
      </c>
      <c r="I117" s="17">
        <f>663943.67</f>
        <v>663943.67</v>
      </c>
      <c r="J117" s="48">
        <f>163444.62</f>
        <v>163444.62</v>
      </c>
      <c r="K117" s="48"/>
      <c r="L117" s="48"/>
      <c r="M117" s="48"/>
      <c r="N117" s="49">
        <f>500499.05</f>
        <v>500499.05</v>
      </c>
      <c r="O117" s="49"/>
    </row>
    <row r="118" spans="1:15" s="1" customFormat="1" ht="13.5" customHeight="1">
      <c r="A118" s="47" t="s">
        <v>186</v>
      </c>
      <c r="B118" s="47"/>
      <c r="C118" s="47"/>
      <c r="D118" s="47"/>
      <c r="E118" s="47"/>
      <c r="F118" s="47"/>
      <c r="G118" s="16" t="s">
        <v>97</v>
      </c>
      <c r="H118" s="16" t="s">
        <v>187</v>
      </c>
      <c r="I118" s="17">
        <f>18424.9</f>
        <v>18424.9</v>
      </c>
      <c r="J118" s="48">
        <f>7756</f>
        <v>7756</v>
      </c>
      <c r="K118" s="48"/>
      <c r="L118" s="48"/>
      <c r="M118" s="48"/>
      <c r="N118" s="49">
        <f>10668.9</f>
        <v>10668.9</v>
      </c>
      <c r="O118" s="49"/>
    </row>
    <row r="119" spans="1:15" s="1" customFormat="1" ht="13.5" customHeight="1">
      <c r="A119" s="47" t="s">
        <v>118</v>
      </c>
      <c r="B119" s="47"/>
      <c r="C119" s="47"/>
      <c r="D119" s="47"/>
      <c r="E119" s="47"/>
      <c r="F119" s="47"/>
      <c r="G119" s="16" t="s">
        <v>97</v>
      </c>
      <c r="H119" s="16" t="s">
        <v>188</v>
      </c>
      <c r="I119" s="17">
        <f>323.95</f>
        <v>323.95</v>
      </c>
      <c r="J119" s="48">
        <f>323.95</f>
        <v>323.95</v>
      </c>
      <c r="K119" s="48"/>
      <c r="L119" s="48"/>
      <c r="M119" s="48"/>
      <c r="N119" s="49">
        <f>0</f>
        <v>0</v>
      </c>
      <c r="O119" s="49"/>
    </row>
    <row r="120" spans="1:15" s="1" customFormat="1" ht="13.5" customHeight="1">
      <c r="A120" s="47" t="s">
        <v>120</v>
      </c>
      <c r="B120" s="47"/>
      <c r="C120" s="47"/>
      <c r="D120" s="47"/>
      <c r="E120" s="47"/>
      <c r="F120" s="47"/>
      <c r="G120" s="16" t="s">
        <v>97</v>
      </c>
      <c r="H120" s="16" t="s">
        <v>189</v>
      </c>
      <c r="I120" s="17">
        <f>1656222.59</f>
        <v>1656222.59</v>
      </c>
      <c r="J120" s="48">
        <f>487407.94</f>
        <v>487407.94</v>
      </c>
      <c r="K120" s="48"/>
      <c r="L120" s="48"/>
      <c r="M120" s="48"/>
      <c r="N120" s="49">
        <f>1168814.65</f>
        <v>1168814.65</v>
      </c>
      <c r="O120" s="49"/>
    </row>
    <row r="121" spans="1:15" s="1" customFormat="1" ht="24" customHeight="1">
      <c r="A121" s="47" t="s">
        <v>124</v>
      </c>
      <c r="B121" s="47"/>
      <c r="C121" s="47"/>
      <c r="D121" s="47"/>
      <c r="E121" s="47"/>
      <c r="F121" s="47"/>
      <c r="G121" s="16" t="s">
        <v>97</v>
      </c>
      <c r="H121" s="16" t="s">
        <v>190</v>
      </c>
      <c r="I121" s="17">
        <f>500179.22</f>
        <v>500179.22</v>
      </c>
      <c r="J121" s="48">
        <f>158260.06</f>
        <v>158260.06</v>
      </c>
      <c r="K121" s="48"/>
      <c r="L121" s="48"/>
      <c r="M121" s="48"/>
      <c r="N121" s="49">
        <f>341919.16</f>
        <v>341919.16</v>
      </c>
      <c r="O121" s="49"/>
    </row>
    <row r="122" spans="1:15" s="1" customFormat="1" ht="13.5" customHeight="1">
      <c r="A122" s="47" t="s">
        <v>191</v>
      </c>
      <c r="B122" s="47"/>
      <c r="C122" s="47"/>
      <c r="D122" s="47"/>
      <c r="E122" s="47"/>
      <c r="F122" s="47"/>
      <c r="G122" s="16" t="s">
        <v>97</v>
      </c>
      <c r="H122" s="16" t="s">
        <v>192</v>
      </c>
      <c r="I122" s="17">
        <f>216000</f>
        <v>216000</v>
      </c>
      <c r="J122" s="48">
        <f>72000</f>
        <v>72000</v>
      </c>
      <c r="K122" s="48"/>
      <c r="L122" s="48"/>
      <c r="M122" s="48"/>
      <c r="N122" s="49">
        <f>144000</f>
        <v>144000</v>
      </c>
      <c r="O122" s="49"/>
    </row>
    <row r="123" spans="1:15" s="1" customFormat="1" ht="13.5" customHeight="1">
      <c r="A123" s="47" t="s">
        <v>110</v>
      </c>
      <c r="B123" s="47"/>
      <c r="C123" s="47"/>
      <c r="D123" s="47"/>
      <c r="E123" s="47"/>
      <c r="F123" s="47"/>
      <c r="G123" s="16" t="s">
        <v>97</v>
      </c>
      <c r="H123" s="16" t="s">
        <v>193</v>
      </c>
      <c r="I123" s="17">
        <f>27000</f>
        <v>27000</v>
      </c>
      <c r="J123" s="48">
        <f>12900</f>
        <v>12900</v>
      </c>
      <c r="K123" s="48"/>
      <c r="L123" s="48"/>
      <c r="M123" s="48"/>
      <c r="N123" s="49">
        <f>14100</f>
        <v>14100</v>
      </c>
      <c r="O123" s="49"/>
    </row>
    <row r="124" spans="1:15" s="1" customFormat="1" ht="15" customHeight="1">
      <c r="A124" s="51" t="s">
        <v>194</v>
      </c>
      <c r="B124" s="51"/>
      <c r="C124" s="51"/>
      <c r="D124" s="51"/>
      <c r="E124" s="51"/>
      <c r="F124" s="51"/>
      <c r="G124" s="18" t="s">
        <v>195</v>
      </c>
      <c r="H124" s="18" t="s">
        <v>38</v>
      </c>
      <c r="I124" s="19">
        <f>-4587575.61</f>
        <v>-4587575.61</v>
      </c>
      <c r="J124" s="52">
        <f>2644271.96</f>
        <v>2644271.96</v>
      </c>
      <c r="K124" s="52"/>
      <c r="L124" s="52"/>
      <c r="M124" s="52"/>
      <c r="N124" s="53" t="s">
        <v>38</v>
      </c>
      <c r="O124" s="53"/>
    </row>
    <row r="125" spans="1:15" s="1" customFormat="1" ht="13.5" customHeight="1">
      <c r="A125" s="29" t="s">
        <v>18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1:15" s="1" customFormat="1" ht="13.5" customHeight="1">
      <c r="A126" s="31" t="s">
        <v>196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s="1" customFormat="1" ht="45.75" customHeight="1">
      <c r="A127" s="32" t="s">
        <v>24</v>
      </c>
      <c r="B127" s="32"/>
      <c r="C127" s="32"/>
      <c r="D127" s="32"/>
      <c r="E127" s="32"/>
      <c r="F127" s="32"/>
      <c r="G127" s="8" t="s">
        <v>25</v>
      </c>
      <c r="H127" s="8" t="s">
        <v>197</v>
      </c>
      <c r="I127" s="9" t="s">
        <v>27</v>
      </c>
      <c r="J127" s="33" t="s">
        <v>28</v>
      </c>
      <c r="K127" s="33"/>
      <c r="L127" s="33"/>
      <c r="M127" s="33"/>
      <c r="N127" s="34" t="s">
        <v>29</v>
      </c>
      <c r="O127" s="34"/>
    </row>
    <row r="128" spans="1:15" s="1" customFormat="1" ht="12.75" customHeight="1">
      <c r="A128" s="35" t="s">
        <v>30</v>
      </c>
      <c r="B128" s="35"/>
      <c r="C128" s="35"/>
      <c r="D128" s="35"/>
      <c r="E128" s="35"/>
      <c r="F128" s="35"/>
      <c r="G128" s="10" t="s">
        <v>31</v>
      </c>
      <c r="H128" s="10" t="s">
        <v>32</v>
      </c>
      <c r="I128" s="11" t="s">
        <v>33</v>
      </c>
      <c r="J128" s="36" t="s">
        <v>34</v>
      </c>
      <c r="K128" s="36"/>
      <c r="L128" s="36"/>
      <c r="M128" s="36"/>
      <c r="N128" s="37" t="s">
        <v>35</v>
      </c>
      <c r="O128" s="37"/>
    </row>
    <row r="129" spans="1:15" s="1" customFormat="1" ht="13.5" customHeight="1">
      <c r="A129" s="38" t="s">
        <v>198</v>
      </c>
      <c r="B129" s="38"/>
      <c r="C129" s="38"/>
      <c r="D129" s="38"/>
      <c r="E129" s="38"/>
      <c r="F129" s="38"/>
      <c r="G129" s="12" t="s">
        <v>199</v>
      </c>
      <c r="H129" s="12" t="s">
        <v>38</v>
      </c>
      <c r="I129" s="20">
        <f>4587575.61</f>
        <v>4587575.61</v>
      </c>
      <c r="J129" s="39">
        <f>-2644271.96</f>
        <v>-2644271.96</v>
      </c>
      <c r="K129" s="39"/>
      <c r="L129" s="39"/>
      <c r="M129" s="39"/>
      <c r="N129" s="54" t="s">
        <v>38</v>
      </c>
      <c r="O129" s="54"/>
    </row>
    <row r="130" spans="1:15" s="1" customFormat="1" ht="13.5" customHeight="1">
      <c r="A130" s="55" t="s">
        <v>200</v>
      </c>
      <c r="B130" s="55"/>
      <c r="C130" s="55"/>
      <c r="D130" s="55"/>
      <c r="E130" s="55"/>
      <c r="F130" s="55"/>
      <c r="G130" s="21" t="s">
        <v>18</v>
      </c>
      <c r="H130" s="21" t="s">
        <v>18</v>
      </c>
      <c r="I130" s="22" t="s">
        <v>18</v>
      </c>
      <c r="J130" s="56" t="s">
        <v>18</v>
      </c>
      <c r="K130" s="56"/>
      <c r="L130" s="56"/>
      <c r="M130" s="56"/>
      <c r="N130" s="57" t="s">
        <v>18</v>
      </c>
      <c r="O130" s="57"/>
    </row>
    <row r="131" spans="1:15" s="1" customFormat="1" ht="13.5" customHeight="1">
      <c r="A131" s="41" t="s">
        <v>201</v>
      </c>
      <c r="B131" s="41"/>
      <c r="C131" s="41"/>
      <c r="D131" s="41"/>
      <c r="E131" s="41"/>
      <c r="F131" s="41"/>
      <c r="G131" s="23" t="s">
        <v>202</v>
      </c>
      <c r="H131" s="14" t="s">
        <v>38</v>
      </c>
      <c r="I131" s="24" t="s">
        <v>43</v>
      </c>
      <c r="J131" s="45" t="s">
        <v>43</v>
      </c>
      <c r="K131" s="45"/>
      <c r="L131" s="45"/>
      <c r="M131" s="45"/>
      <c r="N131" s="58" t="s">
        <v>43</v>
      </c>
      <c r="O131" s="58"/>
    </row>
    <row r="132" spans="1:15" s="1" customFormat="1" ht="13.5" customHeight="1">
      <c r="A132" s="59" t="s">
        <v>18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1:15" s="1" customFormat="1" ht="13.5" customHeight="1">
      <c r="A133" s="47" t="s">
        <v>203</v>
      </c>
      <c r="B133" s="47"/>
      <c r="C133" s="47"/>
      <c r="D133" s="47"/>
      <c r="E133" s="47"/>
      <c r="F133" s="47"/>
      <c r="G133" s="21" t="s">
        <v>204</v>
      </c>
      <c r="H133" s="21" t="s">
        <v>38</v>
      </c>
      <c r="I133" s="22" t="s">
        <v>43</v>
      </c>
      <c r="J133" s="50" t="s">
        <v>43</v>
      </c>
      <c r="K133" s="50"/>
      <c r="L133" s="50"/>
      <c r="M133" s="50"/>
      <c r="N133" s="57" t="s">
        <v>43</v>
      </c>
      <c r="O133" s="57"/>
    </row>
    <row r="134" spans="1:15" s="1" customFormat="1" ht="13.5" customHeight="1">
      <c r="A134" s="47" t="s">
        <v>18</v>
      </c>
      <c r="B134" s="47"/>
      <c r="C134" s="47"/>
      <c r="D134" s="47"/>
      <c r="E134" s="47"/>
      <c r="F134" s="47"/>
      <c r="G134" s="16" t="s">
        <v>204</v>
      </c>
      <c r="H134" s="16" t="s">
        <v>18</v>
      </c>
      <c r="I134" s="25" t="s">
        <v>43</v>
      </c>
      <c r="J134" s="50" t="s">
        <v>43</v>
      </c>
      <c r="K134" s="50"/>
      <c r="L134" s="50"/>
      <c r="M134" s="50"/>
      <c r="N134" s="60" t="s">
        <v>43</v>
      </c>
      <c r="O134" s="60"/>
    </row>
    <row r="135" spans="1:15" s="1" customFormat="1" ht="13.5" customHeight="1">
      <c r="A135" s="47" t="s">
        <v>205</v>
      </c>
      <c r="B135" s="47"/>
      <c r="C135" s="47"/>
      <c r="D135" s="47"/>
      <c r="E135" s="47"/>
      <c r="F135" s="47"/>
      <c r="G135" s="16" t="s">
        <v>206</v>
      </c>
      <c r="H135" s="16" t="s">
        <v>207</v>
      </c>
      <c r="I135" s="26">
        <f>4587575.61</f>
        <v>4587575.61</v>
      </c>
      <c r="J135" s="48">
        <f>-2644271.96</f>
        <v>-2644271.96</v>
      </c>
      <c r="K135" s="48"/>
      <c r="L135" s="48"/>
      <c r="M135" s="48"/>
      <c r="N135" s="61">
        <f>7231847.57</f>
        <v>7231847.57</v>
      </c>
      <c r="O135" s="61"/>
    </row>
    <row r="136" spans="1:15" s="1" customFormat="1" ht="13.5" customHeight="1">
      <c r="A136" s="47" t="s">
        <v>208</v>
      </c>
      <c r="B136" s="47"/>
      <c r="C136" s="47"/>
      <c r="D136" s="47"/>
      <c r="E136" s="47"/>
      <c r="F136" s="47"/>
      <c r="G136" s="16" t="s">
        <v>209</v>
      </c>
      <c r="H136" s="16" t="s">
        <v>210</v>
      </c>
      <c r="I136" s="26">
        <f>-74684514.98</f>
        <v>-74684514.98</v>
      </c>
      <c r="J136" s="48">
        <f>-J12</f>
        <v>-20150014.38</v>
      </c>
      <c r="K136" s="48"/>
      <c r="L136" s="48"/>
      <c r="M136" s="48"/>
      <c r="N136" s="62" t="s">
        <v>38</v>
      </c>
      <c r="O136" s="62"/>
    </row>
    <row r="137" spans="1:15" s="1" customFormat="1" ht="13.5" customHeight="1">
      <c r="A137" s="47" t="s">
        <v>211</v>
      </c>
      <c r="B137" s="47"/>
      <c r="C137" s="47"/>
      <c r="D137" s="47"/>
      <c r="E137" s="47"/>
      <c r="F137" s="47"/>
      <c r="G137" s="16" t="s">
        <v>212</v>
      </c>
      <c r="H137" s="16" t="s">
        <v>213</v>
      </c>
      <c r="I137" s="26">
        <f>79272090.59</f>
        <v>79272090.59</v>
      </c>
      <c r="J137" s="48">
        <f>J44</f>
        <v>17505742.42</v>
      </c>
      <c r="K137" s="48"/>
      <c r="L137" s="48"/>
      <c r="M137" s="48"/>
      <c r="N137" s="62" t="s">
        <v>38</v>
      </c>
      <c r="O137" s="62"/>
    </row>
    <row r="138" spans="1:15" s="1" customFormat="1" ht="13.5" customHeight="1">
      <c r="A138" s="63" t="s">
        <v>18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</row>
    <row r="139" spans="1:15" s="1" customFormat="1" ht="15.75" customHeight="1">
      <c r="A139" s="29" t="s">
        <v>18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1:15" s="1" customFormat="1" ht="13.5" customHeight="1">
      <c r="A140" s="64"/>
      <c r="B140" s="64"/>
      <c r="C140" s="64"/>
      <c r="D140" s="64"/>
      <c r="E140" s="64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1:15" s="1" customFormat="1" ht="13.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</sheetData>
  <sheetProtection/>
  <mergeCells count="395">
    <mergeCell ref="A141:O141"/>
    <mergeCell ref="A137:F137"/>
    <mergeCell ref="J137:M137"/>
    <mergeCell ref="N137:O137"/>
    <mergeCell ref="A138:O138"/>
    <mergeCell ref="A139:O139"/>
    <mergeCell ref="A140:E140"/>
    <mergeCell ref="F140:O140"/>
    <mergeCell ref="A135:F135"/>
    <mergeCell ref="J135:M135"/>
    <mergeCell ref="N135:O135"/>
    <mergeCell ref="A136:F136"/>
    <mergeCell ref="J136:M136"/>
    <mergeCell ref="N136:O136"/>
    <mergeCell ref="A132:O132"/>
    <mergeCell ref="A133:F133"/>
    <mergeCell ref="J133:M133"/>
    <mergeCell ref="N133:O133"/>
    <mergeCell ref="A134:F134"/>
    <mergeCell ref="J134:M134"/>
    <mergeCell ref="N134:O134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4:F124"/>
    <mergeCell ref="J124:M124"/>
    <mergeCell ref="N124:O124"/>
    <mergeCell ref="A125:O125"/>
    <mergeCell ref="A126:O126"/>
    <mergeCell ref="A127:F127"/>
    <mergeCell ref="J127:M127"/>
    <mergeCell ref="N127:O127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0:O40"/>
    <mergeCell ref="A41:O41"/>
    <mergeCell ref="A42:F42"/>
    <mergeCell ref="J42:M42"/>
    <mergeCell ref="N42:O42"/>
    <mergeCell ref="A43:F43"/>
    <mergeCell ref="J43:M43"/>
    <mergeCell ref="N43:O43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2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dcterms:created xsi:type="dcterms:W3CDTF">2022-06-03T09:50:15Z</dcterms:created>
  <dcterms:modified xsi:type="dcterms:W3CDTF">2022-06-03T10:08:53Z</dcterms:modified>
  <cp:category/>
  <cp:version/>
  <cp:contentType/>
  <cp:contentStatus/>
</cp:coreProperties>
</file>