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<sst xmlns="http://schemas.openxmlformats.org/spreadsheetml/2006/main" count="703" uniqueCount="254">
  <si>
    <t>ОТЧЕТ ОБ ИСПОЛНЕНИИ БЮДЖЕТА</t>
  </si>
  <si>
    <t>КОДЫ</t>
  </si>
  <si>
    <t xml:space="preserve">Форма по ОКУД </t>
  </si>
  <si>
    <t>0503117</t>
  </si>
  <si>
    <t>на 1 сентября 2022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</si>
  <si>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</si>
  <si>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</si>
  <si>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</si>
  <si>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</si>
  <si>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</si>
  <si>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</si>
  <si>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</si>
  <si>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</si>
  <si>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</si>
  <si>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</si>
  <si>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</si>
  <si>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</si>
  <si>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</si>
  <si>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</si>
  <si>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</si>
  <si>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</si>
  <si>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</si>
  <si>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</si>
  <si>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</si>
  <si>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</si>
  <si>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</si>
  <si>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</si>
  <si>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</si>
  <si>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</si>
  <si>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</si>
  <si>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</si>
  <si>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</si>
  <si>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</si>
  <si>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</si>
  <si>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</si>
  <si>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</si>
  <si>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</si>
  <si>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</si>
  <si>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</si>
  <si>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</si>
  <si>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</si>
  <si>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</si>
  <si>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</si>
  <si>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</si>
  <si>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</si>
  <si>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</si>
  <si>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</si>
  <si>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</si>
  <si>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</si>
  <si>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</si>
  <si>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</si>
  <si>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</si>
  <si>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</si>
  <si>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</si>
  <si>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</si>
  <si>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</si>
  <si>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</si>
  <si>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</si>
  <si>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</si>
  <si>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</si>
  <si>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</si>
  <si>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</si>
  <si>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</si>
  <si>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</si>
  <si>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</si>
  <si>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</si>
  <si>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</si>
  <si>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</si>
  <si>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</si>
  <si>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</si>
  <si>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</si>
  <si>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</si>
  <si>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</si>
  <si>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</si>
  <si>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</si>
  <si>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</si>
  <si>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</si>
  <si>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</si>
  <si>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</si>
  <si>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</si>
  <si>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</si>
  <si>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</si>
  <si>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</si>
  <si>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</si>
  <si>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</si>
  <si>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</si>
  <si>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</si>
  <si>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</si>
  <si>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</si>
  <si>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</si>
  <si>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</si>
  <si>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</si>
  <si>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</si>
  <si>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</si>
  <si>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</si>
  <si>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</si>
  <si>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</si>
  <si>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</si>
  <si>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</si>
  <si>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</si>
  <si>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</si>
  <si>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</si>
  <si>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</si>
  <si>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</si>
  <si>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</si>
  <si>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</si>
  <si>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</si>
  <si>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</si>
  <si>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</si>
  <si>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</si>
  <si>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</si>
  <si>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</si>
  <si>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</si>
  <si>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</si>
  <si>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</si>
  <si>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</si>
  <si>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</si>
  <si>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</si>
  <si>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</si>
  <si>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</si>
  <si>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</si>
  <si>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</si>
  <si>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</si>
  <si>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</si>
  <si>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</si>
  <si>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текущего характера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</si>
  <si>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</si>
  <si>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</si>
  <si>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</si>
  <si>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</si>
  <si>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</si>
  <si>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</si>
  <si>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650 0113 0104202040 122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</si>
  <si>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</si>
  <si>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</si>
  <si>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</si>
  <si>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</si>
  <si>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</si>
  <si>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</si>
  <si>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</si>
  <si>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</si>
  <si>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Штрафы за нарушение законодательства о закупках и нарушение условий контрактов (договоров)</t>
  </si>
  <si>
    <t>650 0113 0104202400 831</t>
  </si>
  <si>
    <t>293</t>
  </si>
  <si>
    <t>Иные выплаты текущего характера организациям</t>
  </si>
  <si>
    <t>297</t>
  </si>
  <si>
    <t>Налоги, пошлины и сборы</t>
  </si>
  <si>
    <t>650 0113 0104202400 852</t>
  </si>
  <si>
    <t>291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</si>
  <si>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</si>
  <si>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</si>
  <si>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</si>
  <si>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</si>
  <si>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</si>
  <si>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</si>
  <si>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</si>
  <si>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</si>
  <si>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</si>
  <si>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</si>
  <si>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</si>
  <si>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</si>
  <si>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650 0113 0104300590 852</t>
  </si>
  <si>
    <t>Коммунальные услуги</t>
  </si>
  <si>
    <t>650 0113 0401074040 244</t>
  </si>
  <si>
    <t>223</t>
  </si>
  <si>
    <t>650 0113 0401074040 247</t>
  </si>
  <si>
    <t>650 0113 6000002400 244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</si>
  <si>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</si>
  <si>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</si>
  <si>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</si>
  <si>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</si>
  <si>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</si>
  <si>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</si>
  <si>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</si>
  <si>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</si>
  <si>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</si>
  <si>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650 0314 0603082300 123</t>
  </si>
  <si>
    <t>Страхование</t>
  </si>
  <si>
    <t>650 0314 0603082300 244</t>
  </si>
  <si>
    <t>227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</si>
  <si>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</si>
  <si>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</si>
  <si>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</si>
  <si>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</si>
  <si>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</si>
  <si>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</si>
  <si>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650 0401 0202070145 111</t>
  </si>
  <si>
    <t>650 0401 0202070145 119</t>
  </si>
  <si>
    <t>650 0401 0202070145 244</t>
  </si>
  <si>
    <t>650 0405 0503084200 121</t>
  </si>
  <si>
    <t>650 0405 0503084200 129</t>
  </si>
  <si>
    <t>650 0405 0503084200 244</t>
  </si>
  <si>
    <t>650 0405 0503094200 244</t>
  </si>
  <si>
    <t>Транспортные услуги</t>
  </si>
  <si>
    <t>650 0408 0303073030 244</t>
  </si>
  <si>
    <t>222</t>
  </si>
  <si>
    <t>650 0409 0301074190 244</t>
  </si>
  <si>
    <t>650 0409 0302074030 244</t>
  </si>
  <si>
    <t>Увеличение стоимости строительных материалов</t>
  </si>
  <si>
    <t>344</t>
  </si>
  <si>
    <t>650 0410 0104202400 242</t>
  </si>
  <si>
    <t>650 0501 0401074040 244</t>
  </si>
  <si>
    <t>650 0501 0401074040 247</t>
  </si>
  <si>
    <t>650 0502 0104570010 540</t>
  </si>
  <si>
    <t>650 0502 0104582840 540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</si>
  <si>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</si>
  <si>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</si>
  <si>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</si>
  <si>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</si>
  <si>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</si>
  <si>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650 0503 0504076500 244</t>
  </si>
  <si>
    <t>Увеличение стоимости прочих материальных запасов однократного применения</t>
  </si>
  <si>
    <t>349</t>
  </si>
  <si>
    <t>650 0503 0506182753 540</t>
  </si>
  <si>
    <t>650 0503 05061S2753 540</t>
  </si>
  <si>
    <t>650 0505 0104502040 540</t>
  </si>
  <si>
    <t>650 0707 0104500540 540</t>
  </si>
  <si>
    <t>650 0707 0202070280 244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</si>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</sst>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zoomScalePageLayoutView="0" workbookViewId="0" topLeftCell="A156">
      <selection activeCell="A182" sqref="A182:E18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44805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81451775.87</f>
        <v>81451775.87</v>
      </c>
      <c r="M12" s="36"/>
      <c r="N12" s="36">
        <f>55082544.07</f>
        <v>55082544.07</v>
      </c>
      <c r="O12" s="36"/>
      <c r="P12" s="36"/>
      <c r="Q12" s="36"/>
      <c r="R12" s="36"/>
      <c r="S12" s="52">
        <f>26369231.8</f>
        <v>26369231.8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300000</f>
        <v>300000</v>
      </c>
      <c r="M13" s="54"/>
      <c r="N13" s="54">
        <f>295141.46</f>
        <v>295141.46</v>
      </c>
      <c r="O13" s="54"/>
      <c r="P13" s="54"/>
      <c r="Q13" s="54"/>
      <c r="R13" s="54"/>
      <c r="S13" s="55">
        <f>4858.54</f>
        <v>4858.54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24059</f>
        <v>24059</v>
      </c>
      <c r="M14" s="54"/>
      <c r="N14" s="54">
        <f>70407.3</f>
        <v>70407.3</v>
      </c>
      <c r="O14" s="54"/>
      <c r="P14" s="54"/>
      <c r="Q14" s="54"/>
      <c r="R14" s="54"/>
      <c r="S14" s="56" t="s">
        <v>43</v>
      </c>
      <c r="T14" s="56"/>
      <c r="U14" s="56"/>
    </row>
    <row r="15" spans="1:21" s="1" customFormat="1" ht="66" customHeight="1">
      <c r="A15" s="25" t="s">
        <v>44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45</v>
      </c>
      <c r="K15" s="27"/>
      <c r="L15" s="54">
        <f>3156300</f>
        <v>3156300</v>
      </c>
      <c r="M15" s="54"/>
      <c r="N15" s="54">
        <f>2524707.27</f>
        <v>2524707.27</v>
      </c>
      <c r="O15" s="54"/>
      <c r="P15" s="54"/>
      <c r="Q15" s="54"/>
      <c r="R15" s="54"/>
      <c r="S15" s="55">
        <f>631592.73</f>
        <v>631592.73</v>
      </c>
      <c r="T15" s="55"/>
      <c r="U15" s="55"/>
    </row>
    <row r="16" spans="1:21" s="1" customFormat="1" ht="75.75" customHeight="1">
      <c r="A16" s="25" t="s">
        <v>46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47</v>
      </c>
      <c r="K16" s="27"/>
      <c r="L16" s="54">
        <f>17800</f>
        <v>17800</v>
      </c>
      <c r="M16" s="54"/>
      <c r="N16" s="54">
        <f>14597.48</f>
        <v>14597.48</v>
      </c>
      <c r="O16" s="54"/>
      <c r="P16" s="54"/>
      <c r="Q16" s="54"/>
      <c r="R16" s="54"/>
      <c r="S16" s="55">
        <f>3202.52</f>
        <v>3202.52</v>
      </c>
      <c r="T16" s="55"/>
      <c r="U16" s="55"/>
    </row>
    <row r="17" spans="1:21" s="1" customFormat="1" ht="66" customHeight="1">
      <c r="A17" s="25" t="s">
        <v>48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49</v>
      </c>
      <c r="K17" s="27"/>
      <c r="L17" s="54">
        <f>4141300</f>
        <v>4141300</v>
      </c>
      <c r="M17" s="54"/>
      <c r="N17" s="54">
        <f>2899124.43</f>
        <v>2899124.43</v>
      </c>
      <c r="O17" s="54"/>
      <c r="P17" s="54"/>
      <c r="Q17" s="54"/>
      <c r="R17" s="54"/>
      <c r="S17" s="55">
        <f>1242175.57</f>
        <v>1242175.57</v>
      </c>
      <c r="T17" s="55"/>
      <c r="U17" s="55"/>
    </row>
    <row r="18" spans="1:21" s="1" customFormat="1" ht="66" customHeight="1">
      <c r="A18" s="25" t="s">
        <v>50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51</v>
      </c>
      <c r="K18" s="27"/>
      <c r="L18" s="54">
        <f>-449600</f>
        <v>-449600</v>
      </c>
      <c r="M18" s="54"/>
      <c r="N18" s="54">
        <f>-293918.68</f>
        <v>-293918.68</v>
      </c>
      <c r="O18" s="54"/>
      <c r="P18" s="54"/>
      <c r="Q18" s="54"/>
      <c r="R18" s="54"/>
      <c r="S18" s="55">
        <f>-155681.32</f>
        <v>-155681.32</v>
      </c>
      <c r="T18" s="55"/>
      <c r="U18" s="55"/>
    </row>
    <row r="19" spans="1:21" s="1" customFormat="1" ht="45" customHeight="1">
      <c r="A19" s="25" t="s">
        <v>52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53</v>
      </c>
      <c r="K19" s="27"/>
      <c r="L19" s="54">
        <f>6824000</f>
        <v>6824000</v>
      </c>
      <c r="M19" s="54"/>
      <c r="N19" s="54">
        <f>4646511.25</f>
        <v>4646511.25</v>
      </c>
      <c r="O19" s="54"/>
      <c r="P19" s="54"/>
      <c r="Q19" s="54"/>
      <c r="R19" s="54"/>
      <c r="S19" s="55">
        <f>2177488.75</f>
        <v>2177488.75</v>
      </c>
      <c r="T19" s="55"/>
      <c r="U19" s="55"/>
    </row>
    <row r="20" spans="1:21" s="1" customFormat="1" ht="66" customHeight="1">
      <c r="A20" s="25" t="s">
        <v>54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55</v>
      </c>
      <c r="K20" s="27"/>
      <c r="L20" s="54">
        <f>6000</f>
        <v>6000</v>
      </c>
      <c r="M20" s="54"/>
      <c r="N20" s="54">
        <f>-3542.28</f>
        <v>-3542.28</v>
      </c>
      <c r="O20" s="54"/>
      <c r="P20" s="54"/>
      <c r="Q20" s="54"/>
      <c r="R20" s="54"/>
      <c r="S20" s="55">
        <f>9542.28</f>
        <v>9542.28</v>
      </c>
      <c r="T20" s="55"/>
      <c r="U20" s="55"/>
    </row>
    <row r="21" spans="1:21" s="1" customFormat="1" ht="24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54">
        <f>170000</f>
        <v>170000</v>
      </c>
      <c r="M21" s="54"/>
      <c r="N21" s="54">
        <f>49523.01</f>
        <v>49523.01</v>
      </c>
      <c r="O21" s="54"/>
      <c r="P21" s="54"/>
      <c r="Q21" s="54"/>
      <c r="R21" s="54"/>
      <c r="S21" s="55">
        <f>120476.99</f>
        <v>120476.99</v>
      </c>
      <c r="T21" s="55"/>
      <c r="U21" s="55"/>
    </row>
    <row r="22" spans="1:21" s="1" customFormat="1" ht="13.5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54">
        <f>7000</f>
        <v>7000</v>
      </c>
      <c r="M22" s="54"/>
      <c r="N22" s="29" t="s">
        <v>43</v>
      </c>
      <c r="O22" s="29"/>
      <c r="P22" s="29"/>
      <c r="Q22" s="29"/>
      <c r="R22" s="29"/>
      <c r="S22" s="55">
        <f>7000</f>
        <v>7000</v>
      </c>
      <c r="T22" s="55"/>
      <c r="U22" s="55"/>
    </row>
    <row r="23" spans="1:21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29" t="s">
        <v>43</v>
      </c>
      <c r="M23" s="29"/>
      <c r="N23" s="54">
        <f>78</f>
        <v>78</v>
      </c>
      <c r="O23" s="54"/>
      <c r="P23" s="54"/>
      <c r="Q23" s="54"/>
      <c r="R23" s="54"/>
      <c r="S23" s="56" t="s">
        <v>43</v>
      </c>
      <c r="T23" s="56"/>
      <c r="U23" s="56"/>
    </row>
    <row r="24" spans="1:21" s="1" customFormat="1" ht="24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310000</f>
        <v>310000</v>
      </c>
      <c r="M24" s="54"/>
      <c r="N24" s="54">
        <f>10474.4</f>
        <v>10474.4</v>
      </c>
      <c r="O24" s="54"/>
      <c r="P24" s="54"/>
      <c r="Q24" s="54"/>
      <c r="R24" s="54"/>
      <c r="S24" s="55">
        <f>299525.6</f>
        <v>299525.6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19000</f>
        <v>19000</v>
      </c>
      <c r="M25" s="54"/>
      <c r="N25" s="54">
        <f>10785.52</f>
        <v>10785.52</v>
      </c>
      <c r="O25" s="54"/>
      <c r="P25" s="54"/>
      <c r="Q25" s="54"/>
      <c r="R25" s="54"/>
      <c r="S25" s="55">
        <f>8214.48</f>
        <v>8214.48</v>
      </c>
      <c r="T25" s="55"/>
      <c r="U25" s="55"/>
    </row>
    <row r="26" spans="1:21" s="1" customFormat="1" ht="13.5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57000</f>
        <v>57000</v>
      </c>
      <c r="M26" s="54"/>
      <c r="N26" s="54">
        <f>11629.53</f>
        <v>11629.53</v>
      </c>
      <c r="O26" s="54"/>
      <c r="P26" s="54"/>
      <c r="Q26" s="54"/>
      <c r="R26" s="54"/>
      <c r="S26" s="55">
        <f>45370.47</f>
        <v>45370.47</v>
      </c>
      <c r="T26" s="55"/>
      <c r="U26" s="55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685000</f>
        <v>685000</v>
      </c>
      <c r="M27" s="54"/>
      <c r="N27" s="54">
        <f>646627.69</f>
        <v>646627.69</v>
      </c>
      <c r="O27" s="54"/>
      <c r="P27" s="54"/>
      <c r="Q27" s="54"/>
      <c r="R27" s="54"/>
      <c r="S27" s="55">
        <f>38372.31</f>
        <v>38372.31</v>
      </c>
      <c r="T27" s="55"/>
      <c r="U27" s="55"/>
    </row>
    <row r="28" spans="1:21" s="1" customFormat="1" ht="24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155000</f>
        <v>155000</v>
      </c>
      <c r="M28" s="54"/>
      <c r="N28" s="54">
        <f>10026.44</f>
        <v>10026.44</v>
      </c>
      <c r="O28" s="54"/>
      <c r="P28" s="54"/>
      <c r="Q28" s="54"/>
      <c r="R28" s="54"/>
      <c r="S28" s="55">
        <f>144973.56</f>
        <v>144973.56</v>
      </c>
      <c r="T28" s="55"/>
      <c r="U28" s="55"/>
    </row>
    <row r="29" spans="1:21" s="1" customFormat="1" ht="4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7978.01</f>
        <v>7978.01</v>
      </c>
      <c r="M29" s="54"/>
      <c r="N29" s="54">
        <f>7978.01</f>
        <v>7978.01</v>
      </c>
      <c r="O29" s="54"/>
      <c r="P29" s="54"/>
      <c r="Q29" s="54"/>
      <c r="R29" s="54"/>
      <c r="S29" s="55">
        <f>0</f>
        <v>0</v>
      </c>
      <c r="T29" s="55"/>
      <c r="U29" s="55"/>
    </row>
    <row r="30" spans="1:21" s="1" customFormat="1" ht="33.7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100000</f>
        <v>100000</v>
      </c>
      <c r="M30" s="54"/>
      <c r="N30" s="54">
        <f>80500</f>
        <v>80500</v>
      </c>
      <c r="O30" s="54"/>
      <c r="P30" s="54"/>
      <c r="Q30" s="54"/>
      <c r="R30" s="54"/>
      <c r="S30" s="55">
        <f>19500</f>
        <v>19500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1000000</f>
        <v>1000000</v>
      </c>
      <c r="M31" s="54"/>
      <c r="N31" s="54">
        <f>668747.79</f>
        <v>668747.79</v>
      </c>
      <c r="O31" s="54"/>
      <c r="P31" s="54"/>
      <c r="Q31" s="54"/>
      <c r="R31" s="54"/>
      <c r="S31" s="55">
        <f>331252.21</f>
        <v>331252.21</v>
      </c>
      <c r="T31" s="55"/>
      <c r="U31" s="55"/>
    </row>
    <row r="32" spans="1:21" s="1" customFormat="1" ht="4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960000</f>
        <v>960000</v>
      </c>
      <c r="M32" s="54"/>
      <c r="N32" s="54">
        <f>527624.23</f>
        <v>527624.23</v>
      </c>
      <c r="O32" s="54"/>
      <c r="P32" s="54"/>
      <c r="Q32" s="54"/>
      <c r="R32" s="54"/>
      <c r="S32" s="55">
        <f>432375.77</f>
        <v>432375.77</v>
      </c>
      <c r="T32" s="55"/>
      <c r="U32" s="55"/>
    </row>
    <row r="33" spans="1:21" s="1" customFormat="1" ht="24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300000</f>
        <v>300000</v>
      </c>
      <c r="M33" s="54"/>
      <c r="N33" s="54">
        <f>65261.85</f>
        <v>65261.85</v>
      </c>
      <c r="O33" s="54"/>
      <c r="P33" s="54"/>
      <c r="Q33" s="54"/>
      <c r="R33" s="54"/>
      <c r="S33" s="55">
        <f>234738.15</f>
        <v>234738.15</v>
      </c>
      <c r="T33" s="55"/>
      <c r="U33" s="55"/>
    </row>
    <row r="34" spans="1:21" s="1" customFormat="1" ht="13.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520000</f>
        <v>520000</v>
      </c>
      <c r="M34" s="54"/>
      <c r="N34" s="54">
        <f>545173.45</f>
        <v>545173.45</v>
      </c>
      <c r="O34" s="54"/>
      <c r="P34" s="54"/>
      <c r="Q34" s="54"/>
      <c r="R34" s="54"/>
      <c r="S34" s="56" t="s">
        <v>43</v>
      </c>
      <c r="T34" s="56"/>
      <c r="U34" s="56"/>
    </row>
    <row r="35" spans="1:21" s="1" customFormat="1" ht="54.7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29" t="s">
        <v>43</v>
      </c>
      <c r="M35" s="29"/>
      <c r="N35" s="54">
        <f>222000</f>
        <v>222000</v>
      </c>
      <c r="O35" s="54"/>
      <c r="P35" s="54"/>
      <c r="Q35" s="54"/>
      <c r="R35" s="54"/>
      <c r="S35" s="56" t="s">
        <v>43</v>
      </c>
      <c r="T35" s="56"/>
      <c r="U35" s="56"/>
    </row>
    <row r="36" spans="1:21" s="1" customFormat="1" ht="33.7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4296.55</f>
        <v>4296.55</v>
      </c>
      <c r="M36" s="54"/>
      <c r="N36" s="54">
        <f>4296.55</f>
        <v>4296.55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45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3136</f>
        <v>3136</v>
      </c>
      <c r="M37" s="54"/>
      <c r="N37" s="54">
        <f>3136</f>
        <v>3136</v>
      </c>
      <c r="O37" s="54"/>
      <c r="P37" s="54"/>
      <c r="Q37" s="54"/>
      <c r="R37" s="54"/>
      <c r="S37" s="55">
        <f>0</f>
        <v>0</v>
      </c>
      <c r="T37" s="55"/>
      <c r="U37" s="55"/>
    </row>
    <row r="38" spans="1:21" s="1" customFormat="1" ht="13.5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40000</f>
        <v>40000</v>
      </c>
      <c r="M38" s="54"/>
      <c r="N38" s="54">
        <f>28000</f>
        <v>28000</v>
      </c>
      <c r="O38" s="54"/>
      <c r="P38" s="54"/>
      <c r="Q38" s="54"/>
      <c r="R38" s="54"/>
      <c r="S38" s="55">
        <f>12000</f>
        <v>12000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28783999</f>
        <v>28783999</v>
      </c>
      <c r="M39" s="54"/>
      <c r="N39" s="54">
        <f>19803642.63</f>
        <v>19803642.63</v>
      </c>
      <c r="O39" s="54"/>
      <c r="P39" s="54"/>
      <c r="Q39" s="54"/>
      <c r="R39" s="54"/>
      <c r="S39" s="55">
        <f>8980356.37</f>
        <v>8980356.37</v>
      </c>
      <c r="T39" s="55"/>
      <c r="U39" s="55"/>
    </row>
    <row r="40" spans="1:21" s="1" customFormat="1" ht="24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27240.75</f>
        <v>27240.75</v>
      </c>
      <c r="M40" s="54"/>
      <c r="N40" s="54">
        <f>27240.75</f>
        <v>27240.75</v>
      </c>
      <c r="O40" s="54"/>
      <c r="P40" s="54"/>
      <c r="Q40" s="54"/>
      <c r="R40" s="54"/>
      <c r="S40" s="55">
        <f>0</f>
        <v>0</v>
      </c>
      <c r="T40" s="55"/>
      <c r="U40" s="55"/>
    </row>
    <row r="41" spans="1:21" s="1" customFormat="1" ht="33.75" customHeight="1">
      <c r="A41" s="25" t="s">
        <v>96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97</v>
      </c>
      <c r="K41" s="27"/>
      <c r="L41" s="54">
        <f>523500</f>
        <v>523500</v>
      </c>
      <c r="M41" s="54"/>
      <c r="N41" s="54">
        <f>400150</f>
        <v>400150</v>
      </c>
      <c r="O41" s="54"/>
      <c r="P41" s="54"/>
      <c r="Q41" s="54"/>
      <c r="R41" s="54"/>
      <c r="S41" s="55">
        <f>123350</f>
        <v>123350</v>
      </c>
      <c r="T41" s="55"/>
      <c r="U41" s="55"/>
    </row>
    <row r="42" spans="1:21" s="1" customFormat="1" ht="24" customHeight="1">
      <c r="A42" s="25" t="s">
        <v>98</v>
      </c>
      <c r="B42" s="25"/>
      <c r="C42" s="25"/>
      <c r="D42" s="25"/>
      <c r="E42" s="25"/>
      <c r="F42" s="25"/>
      <c r="G42" s="25"/>
      <c r="H42" s="27" t="s">
        <v>37</v>
      </c>
      <c r="I42" s="27"/>
      <c r="J42" s="27" t="s">
        <v>99</v>
      </c>
      <c r="K42" s="27"/>
      <c r="L42" s="54">
        <f>122381.48</f>
        <v>122381.48</v>
      </c>
      <c r="M42" s="54"/>
      <c r="N42" s="54">
        <f>89385</f>
        <v>89385</v>
      </c>
      <c r="O42" s="54"/>
      <c r="P42" s="54"/>
      <c r="Q42" s="54"/>
      <c r="R42" s="54"/>
      <c r="S42" s="55">
        <f>32996.48</f>
        <v>32996.48</v>
      </c>
      <c r="T42" s="55"/>
      <c r="U42" s="55"/>
    </row>
    <row r="43" spans="1:21" s="1" customFormat="1" ht="24" customHeight="1">
      <c r="A43" s="25" t="s">
        <v>100</v>
      </c>
      <c r="B43" s="25"/>
      <c r="C43" s="25"/>
      <c r="D43" s="25"/>
      <c r="E43" s="25"/>
      <c r="F43" s="25"/>
      <c r="G43" s="25"/>
      <c r="H43" s="27" t="s">
        <v>37</v>
      </c>
      <c r="I43" s="27"/>
      <c r="J43" s="27" t="s">
        <v>101</v>
      </c>
      <c r="K43" s="27"/>
      <c r="L43" s="54">
        <f>33561385.08</f>
        <v>33561385.08</v>
      </c>
      <c r="M43" s="54"/>
      <c r="N43" s="54">
        <f>21642234.99</f>
        <v>21642234.99</v>
      </c>
      <c r="O43" s="54"/>
      <c r="P43" s="54"/>
      <c r="Q43" s="54"/>
      <c r="R43" s="54"/>
      <c r="S43" s="55">
        <f>11919150.09</f>
        <v>11919150.09</v>
      </c>
      <c r="T43" s="55"/>
      <c r="U43" s="55"/>
    </row>
    <row r="44" spans="1:21" s="1" customFormat="1" ht="13.5" customHeight="1">
      <c r="A44" s="25" t="s">
        <v>102</v>
      </c>
      <c r="B44" s="25"/>
      <c r="C44" s="25"/>
      <c r="D44" s="25"/>
      <c r="E44" s="25"/>
      <c r="F44" s="25"/>
      <c r="G44" s="25"/>
      <c r="H44" s="27" t="s">
        <v>37</v>
      </c>
      <c r="I44" s="27"/>
      <c r="J44" s="27" t="s">
        <v>103</v>
      </c>
      <c r="K44" s="27"/>
      <c r="L44" s="54">
        <f>75000</f>
        <v>75000</v>
      </c>
      <c r="M44" s="54"/>
      <c r="N44" s="54">
        <f>75000</f>
        <v>75000</v>
      </c>
      <c r="O44" s="54"/>
      <c r="P44" s="54"/>
      <c r="Q44" s="54"/>
      <c r="R44" s="54"/>
      <c r="S44" s="55">
        <f>0</f>
        <v>0</v>
      </c>
      <c r="T44" s="55"/>
      <c r="U44" s="55"/>
    </row>
    <row r="45" spans="1:21" s="1" customFormat="1" ht="13.5" customHeight="1">
      <c r="A45" s="53" t="s">
        <v>18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s="1" customFormat="1" ht="13.5" customHeight="1">
      <c r="A46" s="42" t="s">
        <v>104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s="1" customFormat="1" ht="34.5" customHeight="1">
      <c r="A47" s="43" t="s">
        <v>24</v>
      </c>
      <c r="B47" s="43"/>
      <c r="C47" s="43"/>
      <c r="D47" s="43"/>
      <c r="E47" s="43"/>
      <c r="F47" s="43"/>
      <c r="G47" s="43" t="s">
        <v>25</v>
      </c>
      <c r="H47" s="43"/>
      <c r="I47" s="43" t="s">
        <v>105</v>
      </c>
      <c r="J47" s="43"/>
      <c r="K47" s="44" t="s">
        <v>106</v>
      </c>
      <c r="L47" s="44"/>
      <c r="M47" s="44" t="s">
        <v>27</v>
      </c>
      <c r="N47" s="44"/>
      <c r="O47" s="44" t="s">
        <v>28</v>
      </c>
      <c r="P47" s="44"/>
      <c r="Q47" s="44"/>
      <c r="R47" s="44"/>
      <c r="S47" s="44"/>
      <c r="T47" s="45" t="s">
        <v>29</v>
      </c>
      <c r="U47" s="45"/>
    </row>
    <row r="48" spans="1:21" s="1" customFormat="1" ht="13.5" customHeight="1">
      <c r="A48" s="38" t="s">
        <v>30</v>
      </c>
      <c r="B48" s="38"/>
      <c r="C48" s="38"/>
      <c r="D48" s="38"/>
      <c r="E48" s="38"/>
      <c r="F48" s="38"/>
      <c r="G48" s="38" t="s">
        <v>31</v>
      </c>
      <c r="H48" s="38"/>
      <c r="I48" s="38" t="s">
        <v>32</v>
      </c>
      <c r="J48" s="38"/>
      <c r="K48" s="39" t="s">
        <v>33</v>
      </c>
      <c r="L48" s="39"/>
      <c r="M48" s="39" t="s">
        <v>34</v>
      </c>
      <c r="N48" s="39"/>
      <c r="O48" s="39" t="s">
        <v>35</v>
      </c>
      <c r="P48" s="39"/>
      <c r="Q48" s="39"/>
      <c r="R48" s="39"/>
      <c r="S48" s="39"/>
      <c r="T48" s="40" t="s">
        <v>107</v>
      </c>
      <c r="U48" s="40"/>
    </row>
    <row r="49" spans="1:21" s="1" customFormat="1" ht="13.5" customHeight="1">
      <c r="A49" s="33" t="s">
        <v>108</v>
      </c>
      <c r="B49" s="33"/>
      <c r="C49" s="33"/>
      <c r="D49" s="33"/>
      <c r="E49" s="33"/>
      <c r="F49" s="33"/>
      <c r="G49" s="34" t="s">
        <v>109</v>
      </c>
      <c r="H49" s="34"/>
      <c r="I49" s="34" t="s">
        <v>38</v>
      </c>
      <c r="J49" s="34"/>
      <c r="K49" s="51" t="s">
        <v>38</v>
      </c>
      <c r="L49" s="51"/>
      <c r="M49" s="36">
        <f>88007264.69</f>
        <v>88007264.69</v>
      </c>
      <c r="N49" s="36"/>
      <c r="O49" s="36">
        <f>52609180.12</f>
        <v>52609180.12</v>
      </c>
      <c r="P49" s="36"/>
      <c r="Q49" s="36"/>
      <c r="R49" s="36"/>
      <c r="S49" s="36"/>
      <c r="T49" s="52">
        <f>35398084.57</f>
        <v>35398084.57</v>
      </c>
      <c r="U49" s="52"/>
    </row>
    <row r="50" spans="1:21" s="1" customFormat="1" ht="13.5" customHeight="1">
      <c r="A50" s="12" t="s">
        <v>110</v>
      </c>
      <c r="B50" s="12"/>
      <c r="C50" s="12"/>
      <c r="D50" s="12"/>
      <c r="E50" s="12"/>
      <c r="F50" s="12"/>
      <c r="G50" s="13" t="s">
        <v>109</v>
      </c>
      <c r="H50" s="13"/>
      <c r="I50" s="13" t="s">
        <v>111</v>
      </c>
      <c r="J50" s="13"/>
      <c r="K50" s="21" t="s">
        <v>112</v>
      </c>
      <c r="L50" s="21"/>
      <c r="M50" s="15">
        <f>1558206</f>
        <v>1558206</v>
      </c>
      <c r="N50" s="15"/>
      <c r="O50" s="15">
        <f>983324.6</f>
        <v>983324.6</v>
      </c>
      <c r="P50" s="15"/>
      <c r="Q50" s="15"/>
      <c r="R50" s="15"/>
      <c r="S50" s="15"/>
      <c r="T50" s="50">
        <f>574881.4</f>
        <v>574881.4</v>
      </c>
      <c r="U50" s="50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109</v>
      </c>
      <c r="H51" s="13"/>
      <c r="I51" s="13" t="s">
        <v>114</v>
      </c>
      <c r="J51" s="13"/>
      <c r="K51" s="21" t="s">
        <v>115</v>
      </c>
      <c r="L51" s="21"/>
      <c r="M51" s="15">
        <f>470523</f>
        <v>470523</v>
      </c>
      <c r="N51" s="15"/>
      <c r="O51" s="15">
        <f>282177.53</f>
        <v>282177.53</v>
      </c>
      <c r="P51" s="15"/>
      <c r="Q51" s="15"/>
      <c r="R51" s="15"/>
      <c r="S51" s="15"/>
      <c r="T51" s="50">
        <f>188345.47</f>
        <v>188345.47</v>
      </c>
      <c r="U51" s="50"/>
    </row>
    <row r="52" spans="1:21" s="1" customFormat="1" ht="13.5" customHeight="1">
      <c r="A52" s="12" t="s">
        <v>110</v>
      </c>
      <c r="B52" s="12"/>
      <c r="C52" s="12"/>
      <c r="D52" s="12"/>
      <c r="E52" s="12"/>
      <c r="F52" s="12"/>
      <c r="G52" s="13" t="s">
        <v>109</v>
      </c>
      <c r="H52" s="13"/>
      <c r="I52" s="13" t="s">
        <v>116</v>
      </c>
      <c r="J52" s="13"/>
      <c r="K52" s="21" t="s">
        <v>112</v>
      </c>
      <c r="L52" s="21"/>
      <c r="M52" s="15">
        <f>9341243.54</f>
        <v>9341243.54</v>
      </c>
      <c r="N52" s="15"/>
      <c r="O52" s="15">
        <f>6143966.98</f>
        <v>6143966.98</v>
      </c>
      <c r="P52" s="15"/>
      <c r="Q52" s="15"/>
      <c r="R52" s="15"/>
      <c r="S52" s="15"/>
      <c r="T52" s="50">
        <f>3197276.56</f>
        <v>3197276.56</v>
      </c>
      <c r="U52" s="50"/>
    </row>
    <row r="53" spans="1:21" s="1" customFormat="1" ht="13.5" customHeight="1">
      <c r="A53" s="12" t="s">
        <v>117</v>
      </c>
      <c r="B53" s="12"/>
      <c r="C53" s="12"/>
      <c r="D53" s="12"/>
      <c r="E53" s="12"/>
      <c r="F53" s="12"/>
      <c r="G53" s="13" t="s">
        <v>109</v>
      </c>
      <c r="H53" s="13"/>
      <c r="I53" s="13" t="s">
        <v>116</v>
      </c>
      <c r="J53" s="13"/>
      <c r="K53" s="21" t="s">
        <v>118</v>
      </c>
      <c r="L53" s="21"/>
      <c r="M53" s="15">
        <f>18047.46</f>
        <v>18047.46</v>
      </c>
      <c r="N53" s="15"/>
      <c r="O53" s="15">
        <f>18047.46</f>
        <v>18047.46</v>
      </c>
      <c r="P53" s="15"/>
      <c r="Q53" s="15"/>
      <c r="R53" s="15"/>
      <c r="S53" s="15"/>
      <c r="T53" s="50">
        <f>0</f>
        <v>0</v>
      </c>
      <c r="U53" s="50"/>
    </row>
    <row r="54" spans="1:21" s="1" customFormat="1" ht="13.5" customHeight="1">
      <c r="A54" s="12" t="s">
        <v>119</v>
      </c>
      <c r="B54" s="12"/>
      <c r="C54" s="12"/>
      <c r="D54" s="12"/>
      <c r="E54" s="12"/>
      <c r="F54" s="12"/>
      <c r="G54" s="13" t="s">
        <v>109</v>
      </c>
      <c r="H54" s="13"/>
      <c r="I54" s="13" t="s">
        <v>120</v>
      </c>
      <c r="J54" s="13"/>
      <c r="K54" s="21" t="s">
        <v>121</v>
      </c>
      <c r="L54" s="21"/>
      <c r="M54" s="15">
        <f>30000</f>
        <v>30000</v>
      </c>
      <c r="N54" s="15"/>
      <c r="O54" s="15">
        <f>3500</f>
        <v>3500</v>
      </c>
      <c r="P54" s="15"/>
      <c r="Q54" s="15"/>
      <c r="R54" s="15"/>
      <c r="S54" s="15"/>
      <c r="T54" s="50">
        <f>26500</f>
        <v>26500</v>
      </c>
      <c r="U54" s="50"/>
    </row>
    <row r="55" spans="1:21" s="1" customFormat="1" ht="13.5" customHeight="1">
      <c r="A55" s="12" t="s">
        <v>122</v>
      </c>
      <c r="B55" s="12"/>
      <c r="C55" s="12"/>
      <c r="D55" s="12"/>
      <c r="E55" s="12"/>
      <c r="F55" s="12"/>
      <c r="G55" s="13" t="s">
        <v>109</v>
      </c>
      <c r="H55" s="13"/>
      <c r="I55" s="13" t="s">
        <v>120</v>
      </c>
      <c r="J55" s="13"/>
      <c r="K55" s="21" t="s">
        <v>123</v>
      </c>
      <c r="L55" s="21"/>
      <c r="M55" s="15">
        <f>70000</f>
        <v>70000</v>
      </c>
      <c r="N55" s="15"/>
      <c r="O55" s="15">
        <f>18896</f>
        <v>18896</v>
      </c>
      <c r="P55" s="15"/>
      <c r="Q55" s="15"/>
      <c r="R55" s="15"/>
      <c r="S55" s="15"/>
      <c r="T55" s="50">
        <f>51104</f>
        <v>51104</v>
      </c>
      <c r="U55" s="50"/>
    </row>
    <row r="56" spans="1:21" s="1" customFormat="1" ht="13.5" customHeight="1">
      <c r="A56" s="12" t="s">
        <v>113</v>
      </c>
      <c r="B56" s="12"/>
      <c r="C56" s="12"/>
      <c r="D56" s="12"/>
      <c r="E56" s="12"/>
      <c r="F56" s="12"/>
      <c r="G56" s="13" t="s">
        <v>109</v>
      </c>
      <c r="H56" s="13"/>
      <c r="I56" s="13" t="s">
        <v>124</v>
      </c>
      <c r="J56" s="13"/>
      <c r="K56" s="21" t="s">
        <v>115</v>
      </c>
      <c r="L56" s="21"/>
      <c r="M56" s="15">
        <f>2825953.81</f>
        <v>2825953.81</v>
      </c>
      <c r="N56" s="15"/>
      <c r="O56" s="15">
        <f>1626427.24</f>
        <v>1626427.24</v>
      </c>
      <c r="P56" s="15"/>
      <c r="Q56" s="15"/>
      <c r="R56" s="15"/>
      <c r="S56" s="15"/>
      <c r="T56" s="50">
        <f>1199526.57</f>
        <v>1199526.57</v>
      </c>
      <c r="U56" s="50"/>
    </row>
    <row r="57" spans="1:21" s="1" customFormat="1" ht="24" customHeight="1">
      <c r="A57" s="12" t="s">
        <v>125</v>
      </c>
      <c r="B57" s="12"/>
      <c r="C57" s="12"/>
      <c r="D57" s="12"/>
      <c r="E57" s="12"/>
      <c r="F57" s="12"/>
      <c r="G57" s="13" t="s">
        <v>109</v>
      </c>
      <c r="H57" s="13"/>
      <c r="I57" s="13" t="s">
        <v>126</v>
      </c>
      <c r="J57" s="13"/>
      <c r="K57" s="21" t="s">
        <v>127</v>
      </c>
      <c r="L57" s="21"/>
      <c r="M57" s="15">
        <f>159596</f>
        <v>159596</v>
      </c>
      <c r="N57" s="15"/>
      <c r="O57" s="15">
        <f>119697</f>
        <v>119697</v>
      </c>
      <c r="P57" s="15"/>
      <c r="Q57" s="15"/>
      <c r="R57" s="15"/>
      <c r="S57" s="15"/>
      <c r="T57" s="50">
        <f>39899</f>
        <v>39899</v>
      </c>
      <c r="U57" s="50"/>
    </row>
    <row r="58" spans="1:21" s="1" customFormat="1" ht="13.5" customHeight="1">
      <c r="A58" s="12" t="s">
        <v>128</v>
      </c>
      <c r="B58" s="12"/>
      <c r="C58" s="12"/>
      <c r="D58" s="12"/>
      <c r="E58" s="12"/>
      <c r="F58" s="12"/>
      <c r="G58" s="13" t="s">
        <v>109</v>
      </c>
      <c r="H58" s="13"/>
      <c r="I58" s="13" t="s">
        <v>129</v>
      </c>
      <c r="J58" s="13"/>
      <c r="K58" s="21" t="s">
        <v>109</v>
      </c>
      <c r="L58" s="21"/>
      <c r="M58" s="15">
        <f>150000</f>
        <v>150000</v>
      </c>
      <c r="N58" s="15"/>
      <c r="O58" s="19" t="s">
        <v>43</v>
      </c>
      <c r="P58" s="19"/>
      <c r="Q58" s="19"/>
      <c r="R58" s="19"/>
      <c r="S58" s="19"/>
      <c r="T58" s="50">
        <f>150000</f>
        <v>150000</v>
      </c>
      <c r="U58" s="50"/>
    </row>
    <row r="59" spans="1:21" s="1" customFormat="1" ht="13.5" customHeight="1">
      <c r="A59" s="12" t="s">
        <v>122</v>
      </c>
      <c r="B59" s="12"/>
      <c r="C59" s="12"/>
      <c r="D59" s="12"/>
      <c r="E59" s="12"/>
      <c r="F59" s="12"/>
      <c r="G59" s="13" t="s">
        <v>109</v>
      </c>
      <c r="H59" s="13"/>
      <c r="I59" s="13" t="s">
        <v>130</v>
      </c>
      <c r="J59" s="13"/>
      <c r="K59" s="21" t="s">
        <v>123</v>
      </c>
      <c r="L59" s="21"/>
      <c r="M59" s="15">
        <f>30000</f>
        <v>30000</v>
      </c>
      <c r="N59" s="15"/>
      <c r="O59" s="15">
        <f>4000</f>
        <v>4000</v>
      </c>
      <c r="P59" s="15"/>
      <c r="Q59" s="15"/>
      <c r="R59" s="15"/>
      <c r="S59" s="15"/>
      <c r="T59" s="50">
        <f>26000</f>
        <v>26000</v>
      </c>
      <c r="U59" s="50"/>
    </row>
    <row r="60" spans="1:21" s="1" customFormat="1" ht="13.5" customHeight="1">
      <c r="A60" s="12" t="s">
        <v>131</v>
      </c>
      <c r="B60" s="12"/>
      <c r="C60" s="12"/>
      <c r="D60" s="12"/>
      <c r="E60" s="12"/>
      <c r="F60" s="12"/>
      <c r="G60" s="13" t="s">
        <v>109</v>
      </c>
      <c r="H60" s="13"/>
      <c r="I60" s="13" t="s">
        <v>132</v>
      </c>
      <c r="J60" s="13"/>
      <c r="K60" s="21" t="s">
        <v>133</v>
      </c>
      <c r="L60" s="21"/>
      <c r="M60" s="15">
        <f>300000</f>
        <v>300000</v>
      </c>
      <c r="N60" s="15"/>
      <c r="O60" s="15">
        <f>16703.7</f>
        <v>16703.7</v>
      </c>
      <c r="P60" s="15"/>
      <c r="Q60" s="15"/>
      <c r="R60" s="15"/>
      <c r="S60" s="15"/>
      <c r="T60" s="50">
        <f>283296.3</f>
        <v>283296.3</v>
      </c>
      <c r="U60" s="50"/>
    </row>
    <row r="61" spans="1:21" s="1" customFormat="1" ht="13.5" customHeight="1">
      <c r="A61" s="12" t="s">
        <v>134</v>
      </c>
      <c r="B61" s="12"/>
      <c r="C61" s="12"/>
      <c r="D61" s="12"/>
      <c r="E61" s="12"/>
      <c r="F61" s="12"/>
      <c r="G61" s="13" t="s">
        <v>109</v>
      </c>
      <c r="H61" s="13"/>
      <c r="I61" s="13" t="s">
        <v>135</v>
      </c>
      <c r="J61" s="13"/>
      <c r="K61" s="21" t="s">
        <v>136</v>
      </c>
      <c r="L61" s="21"/>
      <c r="M61" s="15">
        <f>25000</f>
        <v>25000</v>
      </c>
      <c r="N61" s="15"/>
      <c r="O61" s="15">
        <f>13500</f>
        <v>13500</v>
      </c>
      <c r="P61" s="15"/>
      <c r="Q61" s="15"/>
      <c r="R61" s="15"/>
      <c r="S61" s="15"/>
      <c r="T61" s="50">
        <f>11500</f>
        <v>11500</v>
      </c>
      <c r="U61" s="50"/>
    </row>
    <row r="62" spans="1:21" s="1" customFormat="1" ht="13.5" customHeight="1">
      <c r="A62" s="12" t="s">
        <v>137</v>
      </c>
      <c r="B62" s="12"/>
      <c r="C62" s="12"/>
      <c r="D62" s="12"/>
      <c r="E62" s="12"/>
      <c r="F62" s="12"/>
      <c r="G62" s="13" t="s">
        <v>109</v>
      </c>
      <c r="H62" s="13"/>
      <c r="I62" s="13" t="s">
        <v>135</v>
      </c>
      <c r="J62" s="13"/>
      <c r="K62" s="21" t="s">
        <v>138</v>
      </c>
      <c r="L62" s="21"/>
      <c r="M62" s="15">
        <f>250</f>
        <v>250</v>
      </c>
      <c r="N62" s="15"/>
      <c r="O62" s="15">
        <f>250</f>
        <v>250</v>
      </c>
      <c r="P62" s="15"/>
      <c r="Q62" s="15"/>
      <c r="R62" s="15"/>
      <c r="S62" s="15"/>
      <c r="T62" s="50">
        <f>0</f>
        <v>0</v>
      </c>
      <c r="U62" s="50"/>
    </row>
    <row r="63" spans="1:21" s="1" customFormat="1" ht="13.5" customHeight="1">
      <c r="A63" s="12" t="s">
        <v>122</v>
      </c>
      <c r="B63" s="12"/>
      <c r="C63" s="12"/>
      <c r="D63" s="12"/>
      <c r="E63" s="12"/>
      <c r="F63" s="12"/>
      <c r="G63" s="13" t="s">
        <v>109</v>
      </c>
      <c r="H63" s="13"/>
      <c r="I63" s="13" t="s">
        <v>135</v>
      </c>
      <c r="J63" s="13"/>
      <c r="K63" s="21" t="s">
        <v>123</v>
      </c>
      <c r="L63" s="21"/>
      <c r="M63" s="15">
        <f>30000</f>
        <v>30000</v>
      </c>
      <c r="N63" s="15"/>
      <c r="O63" s="15">
        <f>1474.2</f>
        <v>1474.2</v>
      </c>
      <c r="P63" s="15"/>
      <c r="Q63" s="15"/>
      <c r="R63" s="15"/>
      <c r="S63" s="15"/>
      <c r="T63" s="50">
        <f>28525.8</f>
        <v>28525.8</v>
      </c>
      <c r="U63" s="50"/>
    </row>
    <row r="64" spans="1:21" s="1" customFormat="1" ht="13.5" customHeight="1">
      <c r="A64" s="12" t="s">
        <v>139</v>
      </c>
      <c r="B64" s="12"/>
      <c r="C64" s="12"/>
      <c r="D64" s="12"/>
      <c r="E64" s="12"/>
      <c r="F64" s="12"/>
      <c r="G64" s="13" t="s">
        <v>109</v>
      </c>
      <c r="H64" s="13"/>
      <c r="I64" s="13" t="s">
        <v>135</v>
      </c>
      <c r="J64" s="13"/>
      <c r="K64" s="21" t="s">
        <v>140</v>
      </c>
      <c r="L64" s="21"/>
      <c r="M64" s="15">
        <f>268596.55</f>
        <v>268596.55</v>
      </c>
      <c r="N64" s="15"/>
      <c r="O64" s="15">
        <f>15013</f>
        <v>15013</v>
      </c>
      <c r="P64" s="15"/>
      <c r="Q64" s="15"/>
      <c r="R64" s="15"/>
      <c r="S64" s="15"/>
      <c r="T64" s="50">
        <f>253583.55</f>
        <v>253583.55</v>
      </c>
      <c r="U64" s="50"/>
    </row>
    <row r="65" spans="1:21" s="1" customFormat="1" ht="24" customHeight="1">
      <c r="A65" s="12" t="s">
        <v>141</v>
      </c>
      <c r="B65" s="12"/>
      <c r="C65" s="12"/>
      <c r="D65" s="12"/>
      <c r="E65" s="12"/>
      <c r="F65" s="12"/>
      <c r="G65" s="13" t="s">
        <v>109</v>
      </c>
      <c r="H65" s="13"/>
      <c r="I65" s="13" t="s">
        <v>142</v>
      </c>
      <c r="J65" s="13"/>
      <c r="K65" s="21" t="s">
        <v>143</v>
      </c>
      <c r="L65" s="21"/>
      <c r="M65" s="15">
        <f>14375.98</f>
        <v>14375.98</v>
      </c>
      <c r="N65" s="15"/>
      <c r="O65" s="15">
        <f>14375.98</f>
        <v>14375.98</v>
      </c>
      <c r="P65" s="15"/>
      <c r="Q65" s="15"/>
      <c r="R65" s="15"/>
      <c r="S65" s="15"/>
      <c r="T65" s="50">
        <f>0</f>
        <v>0</v>
      </c>
      <c r="U65" s="50"/>
    </row>
    <row r="66" spans="1:21" s="1" customFormat="1" ht="13.5" customHeight="1">
      <c r="A66" s="12" t="s">
        <v>144</v>
      </c>
      <c r="B66" s="12"/>
      <c r="C66" s="12"/>
      <c r="D66" s="12"/>
      <c r="E66" s="12"/>
      <c r="F66" s="12"/>
      <c r="G66" s="13" t="s">
        <v>109</v>
      </c>
      <c r="H66" s="13"/>
      <c r="I66" s="13" t="s">
        <v>142</v>
      </c>
      <c r="J66" s="13"/>
      <c r="K66" s="21" t="s">
        <v>145</v>
      </c>
      <c r="L66" s="21"/>
      <c r="M66" s="15">
        <f>12699</f>
        <v>12699</v>
      </c>
      <c r="N66" s="15"/>
      <c r="O66" s="15">
        <f>12699</f>
        <v>12699</v>
      </c>
      <c r="P66" s="15"/>
      <c r="Q66" s="15"/>
      <c r="R66" s="15"/>
      <c r="S66" s="15"/>
      <c r="T66" s="50">
        <f>0</f>
        <v>0</v>
      </c>
      <c r="U66" s="50"/>
    </row>
    <row r="67" spans="1:21" s="1" customFormat="1" ht="13.5" customHeight="1">
      <c r="A67" s="12" t="s">
        <v>146</v>
      </c>
      <c r="B67" s="12"/>
      <c r="C67" s="12"/>
      <c r="D67" s="12"/>
      <c r="E67" s="12"/>
      <c r="F67" s="12"/>
      <c r="G67" s="13" t="s">
        <v>109</v>
      </c>
      <c r="H67" s="13"/>
      <c r="I67" s="13" t="s">
        <v>147</v>
      </c>
      <c r="J67" s="13"/>
      <c r="K67" s="21" t="s">
        <v>148</v>
      </c>
      <c r="L67" s="21"/>
      <c r="M67" s="15">
        <f>145000</f>
        <v>145000</v>
      </c>
      <c r="N67" s="15"/>
      <c r="O67" s="15">
        <f>111663</f>
        <v>111663</v>
      </c>
      <c r="P67" s="15"/>
      <c r="Q67" s="15"/>
      <c r="R67" s="15"/>
      <c r="S67" s="15"/>
      <c r="T67" s="50">
        <f>33337</f>
        <v>33337</v>
      </c>
      <c r="U67" s="50"/>
    </row>
    <row r="68" spans="1:21" s="1" customFormat="1" ht="13.5" customHeight="1">
      <c r="A68" s="12" t="s">
        <v>149</v>
      </c>
      <c r="B68" s="12"/>
      <c r="C68" s="12"/>
      <c r="D68" s="12"/>
      <c r="E68" s="12"/>
      <c r="F68" s="12"/>
      <c r="G68" s="13" t="s">
        <v>109</v>
      </c>
      <c r="H68" s="13"/>
      <c r="I68" s="13" t="s">
        <v>150</v>
      </c>
      <c r="J68" s="13"/>
      <c r="K68" s="21" t="s">
        <v>151</v>
      </c>
      <c r="L68" s="21"/>
      <c r="M68" s="15">
        <f>50000</f>
        <v>50000</v>
      </c>
      <c r="N68" s="15"/>
      <c r="O68" s="15">
        <f>50000</f>
        <v>50000</v>
      </c>
      <c r="P68" s="15"/>
      <c r="Q68" s="15"/>
      <c r="R68" s="15"/>
      <c r="S68" s="15"/>
      <c r="T68" s="50">
        <f>0</f>
        <v>0</v>
      </c>
      <c r="U68" s="50"/>
    </row>
    <row r="69" spans="1:21" s="1" customFormat="1" ht="13.5" customHeight="1">
      <c r="A69" s="12" t="s">
        <v>110</v>
      </c>
      <c r="B69" s="12"/>
      <c r="C69" s="12"/>
      <c r="D69" s="12"/>
      <c r="E69" s="12"/>
      <c r="F69" s="12"/>
      <c r="G69" s="13" t="s">
        <v>109</v>
      </c>
      <c r="H69" s="13"/>
      <c r="I69" s="13" t="s">
        <v>152</v>
      </c>
      <c r="J69" s="13"/>
      <c r="K69" s="21" t="s">
        <v>112</v>
      </c>
      <c r="L69" s="21"/>
      <c r="M69" s="15">
        <f>5186306.87</f>
        <v>5186306.87</v>
      </c>
      <c r="N69" s="15"/>
      <c r="O69" s="15">
        <f>3198894.21</f>
        <v>3198894.21</v>
      </c>
      <c r="P69" s="15"/>
      <c r="Q69" s="15"/>
      <c r="R69" s="15"/>
      <c r="S69" s="15"/>
      <c r="T69" s="50">
        <f>1987412.66</f>
        <v>1987412.66</v>
      </c>
      <c r="U69" s="50"/>
    </row>
    <row r="70" spans="1:21" s="1" customFormat="1" ht="13.5" customHeight="1">
      <c r="A70" s="12" t="s">
        <v>117</v>
      </c>
      <c r="B70" s="12"/>
      <c r="C70" s="12"/>
      <c r="D70" s="12"/>
      <c r="E70" s="12"/>
      <c r="F70" s="12"/>
      <c r="G70" s="13" t="s">
        <v>109</v>
      </c>
      <c r="H70" s="13"/>
      <c r="I70" s="13" t="s">
        <v>152</v>
      </c>
      <c r="J70" s="13"/>
      <c r="K70" s="21" t="s">
        <v>118</v>
      </c>
      <c r="L70" s="21"/>
      <c r="M70" s="15">
        <f>23230.65</f>
        <v>23230.65</v>
      </c>
      <c r="N70" s="15"/>
      <c r="O70" s="15">
        <f>23230.65</f>
        <v>23230.65</v>
      </c>
      <c r="P70" s="15"/>
      <c r="Q70" s="15"/>
      <c r="R70" s="15"/>
      <c r="S70" s="15"/>
      <c r="T70" s="50">
        <f>0</f>
        <v>0</v>
      </c>
      <c r="U70" s="50"/>
    </row>
    <row r="71" spans="1:21" s="1" customFormat="1" ht="13.5" customHeight="1">
      <c r="A71" s="12" t="s">
        <v>131</v>
      </c>
      <c r="B71" s="12"/>
      <c r="C71" s="12"/>
      <c r="D71" s="12"/>
      <c r="E71" s="12"/>
      <c r="F71" s="12"/>
      <c r="G71" s="13" t="s">
        <v>109</v>
      </c>
      <c r="H71" s="13"/>
      <c r="I71" s="13" t="s">
        <v>153</v>
      </c>
      <c r="J71" s="13"/>
      <c r="K71" s="21" t="s">
        <v>133</v>
      </c>
      <c r="L71" s="21"/>
      <c r="M71" s="15">
        <f>103100</f>
        <v>103100</v>
      </c>
      <c r="N71" s="15"/>
      <c r="O71" s="15">
        <f>17998.05</f>
        <v>17998.05</v>
      </c>
      <c r="P71" s="15"/>
      <c r="Q71" s="15"/>
      <c r="R71" s="15"/>
      <c r="S71" s="15"/>
      <c r="T71" s="50">
        <f>85101.95</f>
        <v>85101.95</v>
      </c>
      <c r="U71" s="50"/>
    </row>
    <row r="72" spans="1:21" s="1" customFormat="1" ht="13.5" customHeight="1">
      <c r="A72" s="12" t="s">
        <v>113</v>
      </c>
      <c r="B72" s="12"/>
      <c r="C72" s="12"/>
      <c r="D72" s="12"/>
      <c r="E72" s="12"/>
      <c r="F72" s="12"/>
      <c r="G72" s="13" t="s">
        <v>109</v>
      </c>
      <c r="H72" s="13"/>
      <c r="I72" s="13" t="s">
        <v>154</v>
      </c>
      <c r="J72" s="13"/>
      <c r="K72" s="21" t="s">
        <v>115</v>
      </c>
      <c r="L72" s="21"/>
      <c r="M72" s="15">
        <f>1573260.56</f>
        <v>1573260.56</v>
      </c>
      <c r="N72" s="15"/>
      <c r="O72" s="15">
        <f>891831.39</f>
        <v>891831.39</v>
      </c>
      <c r="P72" s="15"/>
      <c r="Q72" s="15"/>
      <c r="R72" s="15"/>
      <c r="S72" s="15"/>
      <c r="T72" s="50">
        <f>681429.17</f>
        <v>681429.17</v>
      </c>
      <c r="U72" s="50"/>
    </row>
    <row r="73" spans="1:21" s="1" customFormat="1" ht="13.5" customHeight="1">
      <c r="A73" s="12" t="s">
        <v>134</v>
      </c>
      <c r="B73" s="12"/>
      <c r="C73" s="12"/>
      <c r="D73" s="12"/>
      <c r="E73" s="12"/>
      <c r="F73" s="12"/>
      <c r="G73" s="13" t="s">
        <v>109</v>
      </c>
      <c r="H73" s="13"/>
      <c r="I73" s="13" t="s">
        <v>155</v>
      </c>
      <c r="J73" s="13"/>
      <c r="K73" s="21" t="s">
        <v>136</v>
      </c>
      <c r="L73" s="21"/>
      <c r="M73" s="15">
        <f>15311.42</f>
        <v>15311.42</v>
      </c>
      <c r="N73" s="15"/>
      <c r="O73" s="15">
        <f>6587.72</f>
        <v>6587.72</v>
      </c>
      <c r="P73" s="15"/>
      <c r="Q73" s="15"/>
      <c r="R73" s="15"/>
      <c r="S73" s="15"/>
      <c r="T73" s="50">
        <f>8723.7</f>
        <v>8723.7</v>
      </c>
      <c r="U73" s="50"/>
    </row>
    <row r="74" spans="1:21" s="1" customFormat="1" ht="13.5" customHeight="1">
      <c r="A74" s="12" t="s">
        <v>122</v>
      </c>
      <c r="B74" s="12"/>
      <c r="C74" s="12"/>
      <c r="D74" s="12"/>
      <c r="E74" s="12"/>
      <c r="F74" s="12"/>
      <c r="G74" s="13" t="s">
        <v>109</v>
      </c>
      <c r="H74" s="13"/>
      <c r="I74" s="13" t="s">
        <v>155</v>
      </c>
      <c r="J74" s="13"/>
      <c r="K74" s="21" t="s">
        <v>123</v>
      </c>
      <c r="L74" s="21"/>
      <c r="M74" s="15">
        <f>7400</f>
        <v>7400</v>
      </c>
      <c r="N74" s="15"/>
      <c r="O74" s="15">
        <f>7400</f>
        <v>7400</v>
      </c>
      <c r="P74" s="15"/>
      <c r="Q74" s="15"/>
      <c r="R74" s="15"/>
      <c r="S74" s="15"/>
      <c r="T74" s="50">
        <f>0</f>
        <v>0</v>
      </c>
      <c r="U74" s="50"/>
    </row>
    <row r="75" spans="1:21" s="1" customFormat="1" ht="13.5" customHeight="1">
      <c r="A75" s="12" t="s">
        <v>122</v>
      </c>
      <c r="B75" s="12"/>
      <c r="C75" s="12"/>
      <c r="D75" s="12"/>
      <c r="E75" s="12"/>
      <c r="F75" s="12"/>
      <c r="G75" s="13" t="s">
        <v>109</v>
      </c>
      <c r="H75" s="13"/>
      <c r="I75" s="13" t="s">
        <v>156</v>
      </c>
      <c r="J75" s="13"/>
      <c r="K75" s="21" t="s">
        <v>123</v>
      </c>
      <c r="L75" s="21"/>
      <c r="M75" s="15">
        <f>41000</f>
        <v>41000</v>
      </c>
      <c r="N75" s="15"/>
      <c r="O75" s="15">
        <f>13187.63</f>
        <v>13187.63</v>
      </c>
      <c r="P75" s="15"/>
      <c r="Q75" s="15"/>
      <c r="R75" s="15"/>
      <c r="S75" s="15"/>
      <c r="T75" s="50">
        <f>27812.37</f>
        <v>27812.37</v>
      </c>
      <c r="U75" s="50"/>
    </row>
    <row r="76" spans="1:21" s="1" customFormat="1" ht="13.5" customHeight="1">
      <c r="A76" s="12" t="s">
        <v>157</v>
      </c>
      <c r="B76" s="12"/>
      <c r="C76" s="12"/>
      <c r="D76" s="12"/>
      <c r="E76" s="12"/>
      <c r="F76" s="12"/>
      <c r="G76" s="13" t="s">
        <v>109</v>
      </c>
      <c r="H76" s="13"/>
      <c r="I76" s="13" t="s">
        <v>156</v>
      </c>
      <c r="J76" s="13"/>
      <c r="K76" s="21" t="s">
        <v>158</v>
      </c>
      <c r="L76" s="21"/>
      <c r="M76" s="15">
        <f>70250.8</f>
        <v>70250.8</v>
      </c>
      <c r="N76" s="15"/>
      <c r="O76" s="15">
        <f>43095</f>
        <v>43095</v>
      </c>
      <c r="P76" s="15"/>
      <c r="Q76" s="15"/>
      <c r="R76" s="15"/>
      <c r="S76" s="15"/>
      <c r="T76" s="50">
        <f>27155.8</f>
        <v>27155.8</v>
      </c>
      <c r="U76" s="50"/>
    </row>
    <row r="77" spans="1:21" s="1" customFormat="1" ht="13.5" customHeight="1">
      <c r="A77" s="12" t="s">
        <v>159</v>
      </c>
      <c r="B77" s="12"/>
      <c r="C77" s="12"/>
      <c r="D77" s="12"/>
      <c r="E77" s="12"/>
      <c r="F77" s="12"/>
      <c r="G77" s="13" t="s">
        <v>109</v>
      </c>
      <c r="H77" s="13"/>
      <c r="I77" s="13" t="s">
        <v>156</v>
      </c>
      <c r="J77" s="13"/>
      <c r="K77" s="21" t="s">
        <v>160</v>
      </c>
      <c r="L77" s="21"/>
      <c r="M77" s="15">
        <f>464230</f>
        <v>464230</v>
      </c>
      <c r="N77" s="15"/>
      <c r="O77" s="15">
        <f>366456.86</f>
        <v>366456.86</v>
      </c>
      <c r="P77" s="15"/>
      <c r="Q77" s="15"/>
      <c r="R77" s="15"/>
      <c r="S77" s="15"/>
      <c r="T77" s="50">
        <f>97773.14</f>
        <v>97773.14</v>
      </c>
      <c r="U77" s="50"/>
    </row>
    <row r="78" spans="1:21" s="1" customFormat="1" ht="13.5" customHeight="1">
      <c r="A78" s="12" t="s">
        <v>139</v>
      </c>
      <c r="B78" s="12"/>
      <c r="C78" s="12"/>
      <c r="D78" s="12"/>
      <c r="E78" s="12"/>
      <c r="F78" s="12"/>
      <c r="G78" s="13" t="s">
        <v>109</v>
      </c>
      <c r="H78" s="13"/>
      <c r="I78" s="13" t="s">
        <v>156</v>
      </c>
      <c r="J78" s="13"/>
      <c r="K78" s="21" t="s">
        <v>140</v>
      </c>
      <c r="L78" s="21"/>
      <c r="M78" s="15">
        <f>150000</f>
        <v>150000</v>
      </c>
      <c r="N78" s="15"/>
      <c r="O78" s="15">
        <f>109801.3</f>
        <v>109801.3</v>
      </c>
      <c r="P78" s="15"/>
      <c r="Q78" s="15"/>
      <c r="R78" s="15"/>
      <c r="S78" s="15"/>
      <c r="T78" s="50">
        <f>40198.7</f>
        <v>40198.7</v>
      </c>
      <c r="U78" s="50"/>
    </row>
    <row r="79" spans="1:21" s="1" customFormat="1" ht="13.5" customHeight="1">
      <c r="A79" s="12" t="s">
        <v>146</v>
      </c>
      <c r="B79" s="12"/>
      <c r="C79" s="12"/>
      <c r="D79" s="12"/>
      <c r="E79" s="12"/>
      <c r="F79" s="12"/>
      <c r="G79" s="13" t="s">
        <v>109</v>
      </c>
      <c r="H79" s="13"/>
      <c r="I79" s="13" t="s">
        <v>161</v>
      </c>
      <c r="J79" s="13"/>
      <c r="K79" s="21" t="s">
        <v>148</v>
      </c>
      <c r="L79" s="21"/>
      <c r="M79" s="15">
        <f>5268</f>
        <v>5268</v>
      </c>
      <c r="N79" s="15"/>
      <c r="O79" s="15">
        <f>3933</f>
        <v>3933</v>
      </c>
      <c r="P79" s="15"/>
      <c r="Q79" s="15"/>
      <c r="R79" s="15"/>
      <c r="S79" s="15"/>
      <c r="T79" s="50">
        <f>1335</f>
        <v>1335</v>
      </c>
      <c r="U79" s="50"/>
    </row>
    <row r="80" spans="1:21" s="1" customFormat="1" ht="13.5" customHeight="1">
      <c r="A80" s="12" t="s">
        <v>162</v>
      </c>
      <c r="B80" s="12"/>
      <c r="C80" s="12"/>
      <c r="D80" s="12"/>
      <c r="E80" s="12"/>
      <c r="F80" s="12"/>
      <c r="G80" s="13" t="s">
        <v>109</v>
      </c>
      <c r="H80" s="13"/>
      <c r="I80" s="13" t="s">
        <v>163</v>
      </c>
      <c r="J80" s="13"/>
      <c r="K80" s="21" t="s">
        <v>164</v>
      </c>
      <c r="L80" s="21"/>
      <c r="M80" s="15">
        <f>61000</f>
        <v>61000</v>
      </c>
      <c r="N80" s="15"/>
      <c r="O80" s="15">
        <f>27517.15</f>
        <v>27517.15</v>
      </c>
      <c r="P80" s="15"/>
      <c r="Q80" s="15"/>
      <c r="R80" s="15"/>
      <c r="S80" s="15"/>
      <c r="T80" s="50">
        <f>33482.85</f>
        <v>33482.85</v>
      </c>
      <c r="U80" s="50"/>
    </row>
    <row r="81" spans="1:21" s="1" customFormat="1" ht="13.5" customHeight="1">
      <c r="A81" s="12" t="s">
        <v>162</v>
      </c>
      <c r="B81" s="12"/>
      <c r="C81" s="12"/>
      <c r="D81" s="12"/>
      <c r="E81" s="12"/>
      <c r="F81" s="12"/>
      <c r="G81" s="13" t="s">
        <v>109</v>
      </c>
      <c r="H81" s="13"/>
      <c r="I81" s="13" t="s">
        <v>165</v>
      </c>
      <c r="J81" s="13"/>
      <c r="K81" s="21" t="s">
        <v>164</v>
      </c>
      <c r="L81" s="21"/>
      <c r="M81" s="15">
        <f>1595194.54</f>
        <v>1595194.54</v>
      </c>
      <c r="N81" s="15"/>
      <c r="O81" s="15">
        <f>931643.23</f>
        <v>931643.23</v>
      </c>
      <c r="P81" s="15"/>
      <c r="Q81" s="15"/>
      <c r="R81" s="15"/>
      <c r="S81" s="15"/>
      <c r="T81" s="50">
        <f>663551.31</f>
        <v>663551.31</v>
      </c>
      <c r="U81" s="50"/>
    </row>
    <row r="82" spans="1:21" s="1" customFormat="1" ht="13.5" customHeight="1">
      <c r="A82" s="12" t="s">
        <v>122</v>
      </c>
      <c r="B82" s="12"/>
      <c r="C82" s="12"/>
      <c r="D82" s="12"/>
      <c r="E82" s="12"/>
      <c r="F82" s="12"/>
      <c r="G82" s="13" t="s">
        <v>109</v>
      </c>
      <c r="H82" s="13"/>
      <c r="I82" s="13" t="s">
        <v>166</v>
      </c>
      <c r="J82" s="13"/>
      <c r="K82" s="21" t="s">
        <v>123</v>
      </c>
      <c r="L82" s="21"/>
      <c r="M82" s="15">
        <f>2044859.85</f>
        <v>2044859.85</v>
      </c>
      <c r="N82" s="15"/>
      <c r="O82" s="19" t="s">
        <v>43</v>
      </c>
      <c r="P82" s="19"/>
      <c r="Q82" s="19"/>
      <c r="R82" s="19"/>
      <c r="S82" s="19"/>
      <c r="T82" s="50">
        <f>2044859.85</f>
        <v>2044859.85</v>
      </c>
      <c r="U82" s="50"/>
    </row>
    <row r="83" spans="1:21" s="1" customFormat="1" ht="13.5" customHeight="1">
      <c r="A83" s="12" t="s">
        <v>110</v>
      </c>
      <c r="B83" s="12"/>
      <c r="C83" s="12"/>
      <c r="D83" s="12"/>
      <c r="E83" s="12"/>
      <c r="F83" s="12"/>
      <c r="G83" s="13" t="s">
        <v>109</v>
      </c>
      <c r="H83" s="13"/>
      <c r="I83" s="13" t="s">
        <v>167</v>
      </c>
      <c r="J83" s="13"/>
      <c r="K83" s="21" t="s">
        <v>112</v>
      </c>
      <c r="L83" s="21"/>
      <c r="M83" s="15">
        <f>382811.06</f>
        <v>382811.06</v>
      </c>
      <c r="N83" s="15"/>
      <c r="O83" s="15">
        <f>251566.11</f>
        <v>251566.11</v>
      </c>
      <c r="P83" s="15"/>
      <c r="Q83" s="15"/>
      <c r="R83" s="15"/>
      <c r="S83" s="15"/>
      <c r="T83" s="50">
        <f>131244.95</f>
        <v>131244.95</v>
      </c>
      <c r="U83" s="50"/>
    </row>
    <row r="84" spans="1:21" s="1" customFormat="1" ht="13.5" customHeight="1">
      <c r="A84" s="12" t="s">
        <v>131</v>
      </c>
      <c r="B84" s="12"/>
      <c r="C84" s="12"/>
      <c r="D84" s="12"/>
      <c r="E84" s="12"/>
      <c r="F84" s="12"/>
      <c r="G84" s="13" t="s">
        <v>109</v>
      </c>
      <c r="H84" s="13"/>
      <c r="I84" s="13" t="s">
        <v>168</v>
      </c>
      <c r="J84" s="13"/>
      <c r="K84" s="21" t="s">
        <v>133</v>
      </c>
      <c r="L84" s="21"/>
      <c r="M84" s="15">
        <f>25000</f>
        <v>25000</v>
      </c>
      <c r="N84" s="15"/>
      <c r="O84" s="19" t="s">
        <v>43</v>
      </c>
      <c r="P84" s="19"/>
      <c r="Q84" s="19"/>
      <c r="R84" s="19"/>
      <c r="S84" s="19"/>
      <c r="T84" s="50">
        <f>25000</f>
        <v>25000</v>
      </c>
      <c r="U84" s="50"/>
    </row>
    <row r="85" spans="1:21" s="1" customFormat="1" ht="13.5" customHeight="1">
      <c r="A85" s="12" t="s">
        <v>113</v>
      </c>
      <c r="B85" s="12"/>
      <c r="C85" s="12"/>
      <c r="D85" s="12"/>
      <c r="E85" s="12"/>
      <c r="F85" s="12"/>
      <c r="G85" s="13" t="s">
        <v>109</v>
      </c>
      <c r="H85" s="13"/>
      <c r="I85" s="13" t="s">
        <v>169</v>
      </c>
      <c r="J85" s="13"/>
      <c r="K85" s="21" t="s">
        <v>115</v>
      </c>
      <c r="L85" s="21"/>
      <c r="M85" s="15">
        <f>115688.94</f>
        <v>115688.94</v>
      </c>
      <c r="N85" s="15"/>
      <c r="O85" s="15">
        <f>75972.98</f>
        <v>75972.98</v>
      </c>
      <c r="P85" s="15"/>
      <c r="Q85" s="15"/>
      <c r="R85" s="15"/>
      <c r="S85" s="15"/>
      <c r="T85" s="50">
        <f>39715.96</f>
        <v>39715.96</v>
      </c>
      <c r="U85" s="50"/>
    </row>
    <row r="86" spans="1:21" s="1" customFormat="1" ht="13.5" customHeight="1">
      <c r="A86" s="12" t="s">
        <v>110</v>
      </c>
      <c r="B86" s="12"/>
      <c r="C86" s="12"/>
      <c r="D86" s="12"/>
      <c r="E86" s="12"/>
      <c r="F86" s="12"/>
      <c r="G86" s="13" t="s">
        <v>109</v>
      </c>
      <c r="H86" s="13"/>
      <c r="I86" s="13" t="s">
        <v>170</v>
      </c>
      <c r="J86" s="13"/>
      <c r="K86" s="21" t="s">
        <v>112</v>
      </c>
      <c r="L86" s="21"/>
      <c r="M86" s="15">
        <f>71897</f>
        <v>71897</v>
      </c>
      <c r="N86" s="15"/>
      <c r="O86" s="15">
        <f>40885.39</f>
        <v>40885.39</v>
      </c>
      <c r="P86" s="15"/>
      <c r="Q86" s="15"/>
      <c r="R86" s="15"/>
      <c r="S86" s="15"/>
      <c r="T86" s="50">
        <f>31011.61</f>
        <v>31011.61</v>
      </c>
      <c r="U86" s="50"/>
    </row>
    <row r="87" spans="1:21" s="1" customFormat="1" ht="13.5" customHeight="1">
      <c r="A87" s="12" t="s">
        <v>113</v>
      </c>
      <c r="B87" s="12"/>
      <c r="C87" s="12"/>
      <c r="D87" s="12"/>
      <c r="E87" s="12"/>
      <c r="F87" s="12"/>
      <c r="G87" s="13" t="s">
        <v>109</v>
      </c>
      <c r="H87" s="13"/>
      <c r="I87" s="13" t="s">
        <v>171</v>
      </c>
      <c r="J87" s="13"/>
      <c r="K87" s="21" t="s">
        <v>115</v>
      </c>
      <c r="L87" s="21"/>
      <c r="M87" s="15">
        <f>21712.87</f>
        <v>21712.87</v>
      </c>
      <c r="N87" s="15"/>
      <c r="O87" s="15">
        <f>5920.61</f>
        <v>5920.61</v>
      </c>
      <c r="P87" s="15"/>
      <c r="Q87" s="15"/>
      <c r="R87" s="15"/>
      <c r="S87" s="15"/>
      <c r="T87" s="50">
        <f>15792.26</f>
        <v>15792.26</v>
      </c>
      <c r="U87" s="50"/>
    </row>
    <row r="88" spans="1:21" s="1" customFormat="1" ht="13.5" customHeight="1">
      <c r="A88" s="12" t="s">
        <v>110</v>
      </c>
      <c r="B88" s="12"/>
      <c r="C88" s="12"/>
      <c r="D88" s="12"/>
      <c r="E88" s="12"/>
      <c r="F88" s="12"/>
      <c r="G88" s="13" t="s">
        <v>109</v>
      </c>
      <c r="H88" s="13"/>
      <c r="I88" s="13" t="s">
        <v>172</v>
      </c>
      <c r="J88" s="13"/>
      <c r="K88" s="21" t="s">
        <v>112</v>
      </c>
      <c r="L88" s="21"/>
      <c r="M88" s="15">
        <f>14417.52</f>
        <v>14417.52</v>
      </c>
      <c r="N88" s="15"/>
      <c r="O88" s="15">
        <f>5661</f>
        <v>5661</v>
      </c>
      <c r="P88" s="15"/>
      <c r="Q88" s="15"/>
      <c r="R88" s="15"/>
      <c r="S88" s="15"/>
      <c r="T88" s="50">
        <f>8756.52</f>
        <v>8756.52</v>
      </c>
      <c r="U88" s="50"/>
    </row>
    <row r="89" spans="1:21" s="1" customFormat="1" ht="13.5" customHeight="1">
      <c r="A89" s="12" t="s">
        <v>113</v>
      </c>
      <c r="B89" s="12"/>
      <c r="C89" s="12"/>
      <c r="D89" s="12"/>
      <c r="E89" s="12"/>
      <c r="F89" s="12"/>
      <c r="G89" s="13" t="s">
        <v>109</v>
      </c>
      <c r="H89" s="13"/>
      <c r="I89" s="13" t="s">
        <v>173</v>
      </c>
      <c r="J89" s="13"/>
      <c r="K89" s="21" t="s">
        <v>115</v>
      </c>
      <c r="L89" s="21"/>
      <c r="M89" s="15">
        <f>4354.09</f>
        <v>4354.09</v>
      </c>
      <c r="N89" s="15"/>
      <c r="O89" s="19" t="s">
        <v>43</v>
      </c>
      <c r="P89" s="19"/>
      <c r="Q89" s="19"/>
      <c r="R89" s="19"/>
      <c r="S89" s="19"/>
      <c r="T89" s="50">
        <f>4354.09</f>
        <v>4354.09</v>
      </c>
      <c r="U89" s="50"/>
    </row>
    <row r="90" spans="1:21" s="1" customFormat="1" ht="13.5" customHeight="1">
      <c r="A90" s="12" t="s">
        <v>139</v>
      </c>
      <c r="B90" s="12"/>
      <c r="C90" s="12"/>
      <c r="D90" s="12"/>
      <c r="E90" s="12"/>
      <c r="F90" s="12"/>
      <c r="G90" s="13" t="s">
        <v>109</v>
      </c>
      <c r="H90" s="13"/>
      <c r="I90" s="13" t="s">
        <v>174</v>
      </c>
      <c r="J90" s="13"/>
      <c r="K90" s="21" t="s">
        <v>140</v>
      </c>
      <c r="L90" s="21"/>
      <c r="M90" s="15">
        <f>10000</f>
        <v>10000</v>
      </c>
      <c r="N90" s="15"/>
      <c r="O90" s="15">
        <f>8721</f>
        <v>8721</v>
      </c>
      <c r="P90" s="15"/>
      <c r="Q90" s="15"/>
      <c r="R90" s="15"/>
      <c r="S90" s="15"/>
      <c r="T90" s="50">
        <f>1279</f>
        <v>1279</v>
      </c>
      <c r="U90" s="50"/>
    </row>
    <row r="91" spans="1:21" s="1" customFormat="1" ht="13.5" customHeight="1">
      <c r="A91" s="12" t="s">
        <v>137</v>
      </c>
      <c r="B91" s="12"/>
      <c r="C91" s="12"/>
      <c r="D91" s="12"/>
      <c r="E91" s="12"/>
      <c r="F91" s="12"/>
      <c r="G91" s="13" t="s">
        <v>109</v>
      </c>
      <c r="H91" s="13"/>
      <c r="I91" s="13" t="s">
        <v>175</v>
      </c>
      <c r="J91" s="13"/>
      <c r="K91" s="21" t="s">
        <v>138</v>
      </c>
      <c r="L91" s="21"/>
      <c r="M91" s="15">
        <f>250000</f>
        <v>250000</v>
      </c>
      <c r="N91" s="15"/>
      <c r="O91" s="15">
        <f>107362.26</f>
        <v>107362.26</v>
      </c>
      <c r="P91" s="15"/>
      <c r="Q91" s="15"/>
      <c r="R91" s="15"/>
      <c r="S91" s="15"/>
      <c r="T91" s="50">
        <f>142637.74</f>
        <v>142637.74</v>
      </c>
      <c r="U91" s="50"/>
    </row>
    <row r="92" spans="1:21" s="1" customFormat="1" ht="13.5" customHeight="1">
      <c r="A92" s="12" t="s">
        <v>122</v>
      </c>
      <c r="B92" s="12"/>
      <c r="C92" s="12"/>
      <c r="D92" s="12"/>
      <c r="E92" s="12"/>
      <c r="F92" s="12"/>
      <c r="G92" s="13" t="s">
        <v>109</v>
      </c>
      <c r="H92" s="13"/>
      <c r="I92" s="13" t="s">
        <v>176</v>
      </c>
      <c r="J92" s="13"/>
      <c r="K92" s="21" t="s">
        <v>123</v>
      </c>
      <c r="L92" s="21"/>
      <c r="M92" s="15">
        <f>24297.6</f>
        <v>24297.6</v>
      </c>
      <c r="N92" s="15"/>
      <c r="O92" s="15">
        <f>8000</f>
        <v>8000</v>
      </c>
      <c r="P92" s="15"/>
      <c r="Q92" s="15"/>
      <c r="R92" s="15"/>
      <c r="S92" s="15"/>
      <c r="T92" s="50">
        <f>16297.6</f>
        <v>16297.6</v>
      </c>
      <c r="U92" s="50"/>
    </row>
    <row r="93" spans="1:21" s="1" customFormat="1" ht="13.5" customHeight="1">
      <c r="A93" s="12" t="s">
        <v>177</v>
      </c>
      <c r="B93" s="12"/>
      <c r="C93" s="12"/>
      <c r="D93" s="12"/>
      <c r="E93" s="12"/>
      <c r="F93" s="12"/>
      <c r="G93" s="13" t="s">
        <v>109</v>
      </c>
      <c r="H93" s="13"/>
      <c r="I93" s="13" t="s">
        <v>178</v>
      </c>
      <c r="J93" s="13"/>
      <c r="K93" s="21" t="s">
        <v>179</v>
      </c>
      <c r="L93" s="21"/>
      <c r="M93" s="15">
        <f>1142.4</f>
        <v>1142.4</v>
      </c>
      <c r="N93" s="15"/>
      <c r="O93" s="15">
        <f>1142.4</f>
        <v>1142.4</v>
      </c>
      <c r="P93" s="15"/>
      <c r="Q93" s="15"/>
      <c r="R93" s="15"/>
      <c r="S93" s="15"/>
      <c r="T93" s="50">
        <f>0</f>
        <v>0</v>
      </c>
      <c r="U93" s="50"/>
    </row>
    <row r="94" spans="1:21" s="1" customFormat="1" ht="13.5" customHeight="1">
      <c r="A94" s="12" t="s">
        <v>122</v>
      </c>
      <c r="B94" s="12"/>
      <c r="C94" s="12"/>
      <c r="D94" s="12"/>
      <c r="E94" s="12"/>
      <c r="F94" s="12"/>
      <c r="G94" s="13" t="s">
        <v>109</v>
      </c>
      <c r="H94" s="13"/>
      <c r="I94" s="13" t="s">
        <v>180</v>
      </c>
      <c r="J94" s="13"/>
      <c r="K94" s="21" t="s">
        <v>123</v>
      </c>
      <c r="L94" s="21"/>
      <c r="M94" s="15">
        <f>6074.4</f>
        <v>6074.4</v>
      </c>
      <c r="N94" s="15"/>
      <c r="O94" s="15">
        <f>2000</f>
        <v>2000</v>
      </c>
      <c r="P94" s="15"/>
      <c r="Q94" s="15"/>
      <c r="R94" s="15"/>
      <c r="S94" s="15"/>
      <c r="T94" s="50">
        <f>4074.4</f>
        <v>4074.4</v>
      </c>
      <c r="U94" s="50"/>
    </row>
    <row r="95" spans="1:21" s="1" customFormat="1" ht="13.5" customHeight="1">
      <c r="A95" s="12" t="s">
        <v>177</v>
      </c>
      <c r="B95" s="12"/>
      <c r="C95" s="12"/>
      <c r="D95" s="12"/>
      <c r="E95" s="12"/>
      <c r="F95" s="12"/>
      <c r="G95" s="13" t="s">
        <v>109</v>
      </c>
      <c r="H95" s="13"/>
      <c r="I95" s="13" t="s">
        <v>181</v>
      </c>
      <c r="J95" s="13"/>
      <c r="K95" s="21" t="s">
        <v>179</v>
      </c>
      <c r="L95" s="21"/>
      <c r="M95" s="15">
        <f>285.6</f>
        <v>285.6</v>
      </c>
      <c r="N95" s="15"/>
      <c r="O95" s="15">
        <f>285.6</f>
        <v>285.6</v>
      </c>
      <c r="P95" s="15"/>
      <c r="Q95" s="15"/>
      <c r="R95" s="15"/>
      <c r="S95" s="15"/>
      <c r="T95" s="50">
        <f>0</f>
        <v>0</v>
      </c>
      <c r="U95" s="50"/>
    </row>
    <row r="96" spans="1:21" s="1" customFormat="1" ht="13.5" customHeight="1">
      <c r="A96" s="12" t="s">
        <v>110</v>
      </c>
      <c r="B96" s="12"/>
      <c r="C96" s="12"/>
      <c r="D96" s="12"/>
      <c r="E96" s="12"/>
      <c r="F96" s="12"/>
      <c r="G96" s="13" t="s">
        <v>109</v>
      </c>
      <c r="H96" s="13"/>
      <c r="I96" s="13" t="s">
        <v>182</v>
      </c>
      <c r="J96" s="13"/>
      <c r="K96" s="21" t="s">
        <v>112</v>
      </c>
      <c r="L96" s="21"/>
      <c r="M96" s="15">
        <f>1442808.14</f>
        <v>1442808.14</v>
      </c>
      <c r="N96" s="15"/>
      <c r="O96" s="15">
        <f>797124.6</f>
        <v>797124.6</v>
      </c>
      <c r="P96" s="15"/>
      <c r="Q96" s="15"/>
      <c r="R96" s="15"/>
      <c r="S96" s="15"/>
      <c r="T96" s="50">
        <f>645683.54</f>
        <v>645683.54</v>
      </c>
      <c r="U96" s="50"/>
    </row>
    <row r="97" spans="1:21" s="1" customFormat="1" ht="13.5" customHeight="1">
      <c r="A97" s="12" t="s">
        <v>113</v>
      </c>
      <c r="B97" s="12"/>
      <c r="C97" s="12"/>
      <c r="D97" s="12"/>
      <c r="E97" s="12"/>
      <c r="F97" s="12"/>
      <c r="G97" s="13" t="s">
        <v>109</v>
      </c>
      <c r="H97" s="13"/>
      <c r="I97" s="13" t="s">
        <v>183</v>
      </c>
      <c r="J97" s="13"/>
      <c r="K97" s="21" t="s">
        <v>115</v>
      </c>
      <c r="L97" s="21"/>
      <c r="M97" s="15">
        <f>435728.06</f>
        <v>435728.06</v>
      </c>
      <c r="N97" s="15"/>
      <c r="O97" s="15">
        <f>198264.5</f>
        <v>198264.5</v>
      </c>
      <c r="P97" s="15"/>
      <c r="Q97" s="15"/>
      <c r="R97" s="15"/>
      <c r="S97" s="15"/>
      <c r="T97" s="50">
        <f>237463.56</f>
        <v>237463.56</v>
      </c>
      <c r="U97" s="50"/>
    </row>
    <row r="98" spans="1:21" s="1" customFormat="1" ht="13.5" customHeight="1">
      <c r="A98" s="12" t="s">
        <v>110</v>
      </c>
      <c r="B98" s="12"/>
      <c r="C98" s="12"/>
      <c r="D98" s="12"/>
      <c r="E98" s="12"/>
      <c r="F98" s="12"/>
      <c r="G98" s="13" t="s">
        <v>109</v>
      </c>
      <c r="H98" s="13"/>
      <c r="I98" s="13" t="s">
        <v>184</v>
      </c>
      <c r="J98" s="13"/>
      <c r="K98" s="21" t="s">
        <v>112</v>
      </c>
      <c r="L98" s="21"/>
      <c r="M98" s="15">
        <f>1574095.21</f>
        <v>1574095.21</v>
      </c>
      <c r="N98" s="15"/>
      <c r="O98" s="15">
        <f>883314.36</f>
        <v>883314.36</v>
      </c>
      <c r="P98" s="15"/>
      <c r="Q98" s="15"/>
      <c r="R98" s="15"/>
      <c r="S98" s="15"/>
      <c r="T98" s="50">
        <f>690780.85</f>
        <v>690780.85</v>
      </c>
      <c r="U98" s="50"/>
    </row>
    <row r="99" spans="1:21" s="1" customFormat="1" ht="13.5" customHeight="1">
      <c r="A99" s="12" t="s">
        <v>113</v>
      </c>
      <c r="B99" s="12"/>
      <c r="C99" s="12"/>
      <c r="D99" s="12"/>
      <c r="E99" s="12"/>
      <c r="F99" s="12"/>
      <c r="G99" s="13" t="s">
        <v>109</v>
      </c>
      <c r="H99" s="13"/>
      <c r="I99" s="13" t="s">
        <v>185</v>
      </c>
      <c r="J99" s="13"/>
      <c r="K99" s="21" t="s">
        <v>115</v>
      </c>
      <c r="L99" s="21"/>
      <c r="M99" s="15">
        <f>475376.79</f>
        <v>475376.79</v>
      </c>
      <c r="N99" s="15"/>
      <c r="O99" s="15">
        <f>306154.07</f>
        <v>306154.07</v>
      </c>
      <c r="P99" s="15"/>
      <c r="Q99" s="15"/>
      <c r="R99" s="15"/>
      <c r="S99" s="15"/>
      <c r="T99" s="50">
        <f>169222.72</f>
        <v>169222.72</v>
      </c>
      <c r="U99" s="50"/>
    </row>
    <row r="100" spans="1:21" s="1" customFormat="1" ht="13.5" customHeight="1">
      <c r="A100" s="12" t="s">
        <v>110</v>
      </c>
      <c r="B100" s="12"/>
      <c r="C100" s="12"/>
      <c r="D100" s="12"/>
      <c r="E100" s="12"/>
      <c r="F100" s="12"/>
      <c r="G100" s="13" t="s">
        <v>109</v>
      </c>
      <c r="H100" s="13"/>
      <c r="I100" s="13" t="s">
        <v>186</v>
      </c>
      <c r="J100" s="13"/>
      <c r="K100" s="21" t="s">
        <v>112</v>
      </c>
      <c r="L100" s="21"/>
      <c r="M100" s="15">
        <f>80633.02</f>
        <v>80633.02</v>
      </c>
      <c r="N100" s="15"/>
      <c r="O100" s="15">
        <f>79837.5</f>
        <v>79837.5</v>
      </c>
      <c r="P100" s="15"/>
      <c r="Q100" s="15"/>
      <c r="R100" s="15"/>
      <c r="S100" s="15"/>
      <c r="T100" s="50">
        <f>795.52</f>
        <v>795.52</v>
      </c>
      <c r="U100" s="50"/>
    </row>
    <row r="101" spans="1:21" s="1" customFormat="1" ht="13.5" customHeight="1">
      <c r="A101" s="12" t="s">
        <v>113</v>
      </c>
      <c r="B101" s="12"/>
      <c r="C101" s="12"/>
      <c r="D101" s="12"/>
      <c r="E101" s="12"/>
      <c r="F101" s="12"/>
      <c r="G101" s="13" t="s">
        <v>109</v>
      </c>
      <c r="H101" s="13"/>
      <c r="I101" s="13" t="s">
        <v>187</v>
      </c>
      <c r="J101" s="13"/>
      <c r="K101" s="21" t="s">
        <v>115</v>
      </c>
      <c r="L101" s="21"/>
      <c r="M101" s="15">
        <f>24351.17</f>
        <v>24351.17</v>
      </c>
      <c r="N101" s="15"/>
      <c r="O101" s="15">
        <f>19348.56</f>
        <v>19348.56</v>
      </c>
      <c r="P101" s="15"/>
      <c r="Q101" s="15"/>
      <c r="R101" s="15"/>
      <c r="S101" s="15"/>
      <c r="T101" s="50">
        <f>5002.61</f>
        <v>5002.61</v>
      </c>
      <c r="U101" s="50"/>
    </row>
    <row r="102" spans="1:21" s="1" customFormat="1" ht="13.5" customHeight="1">
      <c r="A102" s="12" t="s">
        <v>122</v>
      </c>
      <c r="B102" s="12"/>
      <c r="C102" s="12"/>
      <c r="D102" s="12"/>
      <c r="E102" s="12"/>
      <c r="F102" s="12"/>
      <c r="G102" s="13" t="s">
        <v>109</v>
      </c>
      <c r="H102" s="13"/>
      <c r="I102" s="13" t="s">
        <v>188</v>
      </c>
      <c r="J102" s="13"/>
      <c r="K102" s="21" t="s">
        <v>123</v>
      </c>
      <c r="L102" s="21"/>
      <c r="M102" s="15">
        <f>23049</f>
        <v>23049</v>
      </c>
      <c r="N102" s="15"/>
      <c r="O102" s="19" t="s">
        <v>43</v>
      </c>
      <c r="P102" s="19"/>
      <c r="Q102" s="19"/>
      <c r="R102" s="19"/>
      <c r="S102" s="19"/>
      <c r="T102" s="50">
        <f>23049</f>
        <v>23049</v>
      </c>
      <c r="U102" s="50"/>
    </row>
    <row r="103" spans="1:21" s="1" customFormat="1" ht="13.5" customHeight="1">
      <c r="A103" s="12" t="s">
        <v>110</v>
      </c>
      <c r="B103" s="12"/>
      <c r="C103" s="12"/>
      <c r="D103" s="12"/>
      <c r="E103" s="12"/>
      <c r="F103" s="12"/>
      <c r="G103" s="13" t="s">
        <v>109</v>
      </c>
      <c r="H103" s="13"/>
      <c r="I103" s="13" t="s">
        <v>189</v>
      </c>
      <c r="J103" s="13"/>
      <c r="K103" s="21" t="s">
        <v>112</v>
      </c>
      <c r="L103" s="21"/>
      <c r="M103" s="15">
        <f>209.22</f>
        <v>209.22</v>
      </c>
      <c r="N103" s="15"/>
      <c r="O103" s="15">
        <f>209.22</f>
        <v>209.22</v>
      </c>
      <c r="P103" s="15"/>
      <c r="Q103" s="15"/>
      <c r="R103" s="15"/>
      <c r="S103" s="15"/>
      <c r="T103" s="50">
        <f>0</f>
        <v>0</v>
      </c>
      <c r="U103" s="50"/>
    </row>
    <row r="104" spans="1:21" s="1" customFormat="1" ht="13.5" customHeight="1">
      <c r="A104" s="12" t="s">
        <v>113</v>
      </c>
      <c r="B104" s="12"/>
      <c r="C104" s="12"/>
      <c r="D104" s="12"/>
      <c r="E104" s="12"/>
      <c r="F104" s="12"/>
      <c r="G104" s="13" t="s">
        <v>109</v>
      </c>
      <c r="H104" s="13"/>
      <c r="I104" s="13" t="s">
        <v>190</v>
      </c>
      <c r="J104" s="13"/>
      <c r="K104" s="21" t="s">
        <v>115</v>
      </c>
      <c r="L104" s="21"/>
      <c r="M104" s="15">
        <f>63.19</f>
        <v>63.19</v>
      </c>
      <c r="N104" s="15"/>
      <c r="O104" s="15">
        <f>63.19</f>
        <v>63.19</v>
      </c>
      <c r="P104" s="15"/>
      <c r="Q104" s="15"/>
      <c r="R104" s="15"/>
      <c r="S104" s="15"/>
      <c r="T104" s="50">
        <f>0</f>
        <v>0</v>
      </c>
      <c r="U104" s="50"/>
    </row>
    <row r="105" spans="1:21" s="1" customFormat="1" ht="13.5" customHeight="1">
      <c r="A105" s="12" t="s">
        <v>122</v>
      </c>
      <c r="B105" s="12"/>
      <c r="C105" s="12"/>
      <c r="D105" s="12"/>
      <c r="E105" s="12"/>
      <c r="F105" s="12"/>
      <c r="G105" s="13" t="s">
        <v>109</v>
      </c>
      <c r="H105" s="13"/>
      <c r="I105" s="13" t="s">
        <v>191</v>
      </c>
      <c r="J105" s="13"/>
      <c r="K105" s="21" t="s">
        <v>123</v>
      </c>
      <c r="L105" s="21"/>
      <c r="M105" s="15">
        <f>26968.34</f>
        <v>26968.34</v>
      </c>
      <c r="N105" s="15"/>
      <c r="O105" s="15">
        <f>26968.34</f>
        <v>26968.34</v>
      </c>
      <c r="P105" s="15"/>
      <c r="Q105" s="15"/>
      <c r="R105" s="15"/>
      <c r="S105" s="15"/>
      <c r="T105" s="50">
        <f>0</f>
        <v>0</v>
      </c>
      <c r="U105" s="50"/>
    </row>
    <row r="106" spans="1:21" s="1" customFormat="1" ht="13.5" customHeight="1">
      <c r="A106" s="12" t="s">
        <v>122</v>
      </c>
      <c r="B106" s="12"/>
      <c r="C106" s="12"/>
      <c r="D106" s="12"/>
      <c r="E106" s="12"/>
      <c r="F106" s="12"/>
      <c r="G106" s="13" t="s">
        <v>109</v>
      </c>
      <c r="H106" s="13"/>
      <c r="I106" s="13" t="s">
        <v>192</v>
      </c>
      <c r="J106" s="13"/>
      <c r="K106" s="21" t="s">
        <v>123</v>
      </c>
      <c r="L106" s="21"/>
      <c r="M106" s="15">
        <f>123031.66</f>
        <v>123031.66</v>
      </c>
      <c r="N106" s="15"/>
      <c r="O106" s="15">
        <f>123031.66</f>
        <v>123031.66</v>
      </c>
      <c r="P106" s="15"/>
      <c r="Q106" s="15"/>
      <c r="R106" s="15"/>
      <c r="S106" s="15"/>
      <c r="T106" s="50">
        <f>0</f>
        <v>0</v>
      </c>
      <c r="U106" s="50"/>
    </row>
    <row r="107" spans="1:21" s="1" customFormat="1" ht="13.5" customHeight="1">
      <c r="A107" s="12" t="s">
        <v>193</v>
      </c>
      <c r="B107" s="12"/>
      <c r="C107" s="12"/>
      <c r="D107" s="12"/>
      <c r="E107" s="12"/>
      <c r="F107" s="12"/>
      <c r="G107" s="13" t="s">
        <v>109</v>
      </c>
      <c r="H107" s="13"/>
      <c r="I107" s="13" t="s">
        <v>194</v>
      </c>
      <c r="J107" s="13"/>
      <c r="K107" s="21" t="s">
        <v>195</v>
      </c>
      <c r="L107" s="21"/>
      <c r="M107" s="15">
        <f>2078500</f>
        <v>2078500</v>
      </c>
      <c r="N107" s="15"/>
      <c r="O107" s="15">
        <f>1164063.6</f>
        <v>1164063.6</v>
      </c>
      <c r="P107" s="15"/>
      <c r="Q107" s="15"/>
      <c r="R107" s="15"/>
      <c r="S107" s="15"/>
      <c r="T107" s="50">
        <f>914436.4</f>
        <v>914436.4</v>
      </c>
      <c r="U107" s="50"/>
    </row>
    <row r="108" spans="1:21" s="1" customFormat="1" ht="13.5" customHeight="1">
      <c r="A108" s="12" t="s">
        <v>137</v>
      </c>
      <c r="B108" s="12"/>
      <c r="C108" s="12"/>
      <c r="D108" s="12"/>
      <c r="E108" s="12"/>
      <c r="F108" s="12"/>
      <c r="G108" s="13" t="s">
        <v>109</v>
      </c>
      <c r="H108" s="13"/>
      <c r="I108" s="13" t="s">
        <v>196</v>
      </c>
      <c r="J108" s="13"/>
      <c r="K108" s="21" t="s">
        <v>138</v>
      </c>
      <c r="L108" s="21"/>
      <c r="M108" s="15">
        <f>10226369.93</f>
        <v>10226369.93</v>
      </c>
      <c r="N108" s="15"/>
      <c r="O108" s="15">
        <f>5889010.6</f>
        <v>5889010.6</v>
      </c>
      <c r="P108" s="15"/>
      <c r="Q108" s="15"/>
      <c r="R108" s="15"/>
      <c r="S108" s="15"/>
      <c r="T108" s="50">
        <f>4337359.33</f>
        <v>4337359.33</v>
      </c>
      <c r="U108" s="50"/>
    </row>
    <row r="109" spans="1:21" s="1" customFormat="1" ht="13.5" customHeight="1">
      <c r="A109" s="12" t="s">
        <v>122</v>
      </c>
      <c r="B109" s="12"/>
      <c r="C109" s="12"/>
      <c r="D109" s="12"/>
      <c r="E109" s="12"/>
      <c r="F109" s="12"/>
      <c r="G109" s="13" t="s">
        <v>109</v>
      </c>
      <c r="H109" s="13"/>
      <c r="I109" s="13" t="s">
        <v>196</v>
      </c>
      <c r="J109" s="13"/>
      <c r="K109" s="21" t="s">
        <v>123</v>
      </c>
      <c r="L109" s="21"/>
      <c r="M109" s="15">
        <f>199999.99</f>
        <v>199999.99</v>
      </c>
      <c r="N109" s="15"/>
      <c r="O109" s="15">
        <f>199999.99</f>
        <v>199999.99</v>
      </c>
      <c r="P109" s="15"/>
      <c r="Q109" s="15"/>
      <c r="R109" s="15"/>
      <c r="S109" s="15"/>
      <c r="T109" s="50">
        <f>0</f>
        <v>0</v>
      </c>
      <c r="U109" s="50"/>
    </row>
    <row r="110" spans="1:21" s="1" customFormat="1" ht="13.5" customHeight="1">
      <c r="A110" s="12" t="s">
        <v>193</v>
      </c>
      <c r="B110" s="12"/>
      <c r="C110" s="12"/>
      <c r="D110" s="12"/>
      <c r="E110" s="12"/>
      <c r="F110" s="12"/>
      <c r="G110" s="13" t="s">
        <v>109</v>
      </c>
      <c r="H110" s="13"/>
      <c r="I110" s="13" t="s">
        <v>197</v>
      </c>
      <c r="J110" s="13"/>
      <c r="K110" s="21" t="s">
        <v>195</v>
      </c>
      <c r="L110" s="21"/>
      <c r="M110" s="15">
        <f>18240</f>
        <v>18240</v>
      </c>
      <c r="N110" s="15"/>
      <c r="O110" s="15">
        <f>18240</f>
        <v>18240</v>
      </c>
      <c r="P110" s="15"/>
      <c r="Q110" s="15"/>
      <c r="R110" s="15"/>
      <c r="S110" s="15"/>
      <c r="T110" s="50">
        <f>0</f>
        <v>0</v>
      </c>
      <c r="U110" s="50"/>
    </row>
    <row r="111" spans="1:21" s="1" customFormat="1" ht="13.5" customHeight="1">
      <c r="A111" s="12" t="s">
        <v>198</v>
      </c>
      <c r="B111" s="12"/>
      <c r="C111" s="12"/>
      <c r="D111" s="12"/>
      <c r="E111" s="12"/>
      <c r="F111" s="12"/>
      <c r="G111" s="13" t="s">
        <v>109</v>
      </c>
      <c r="H111" s="13"/>
      <c r="I111" s="13" t="s">
        <v>197</v>
      </c>
      <c r="J111" s="13"/>
      <c r="K111" s="21" t="s">
        <v>199</v>
      </c>
      <c r="L111" s="21"/>
      <c r="M111" s="15">
        <f>21760</f>
        <v>21760</v>
      </c>
      <c r="N111" s="15"/>
      <c r="O111" s="15">
        <f>21680</f>
        <v>21680</v>
      </c>
      <c r="P111" s="15"/>
      <c r="Q111" s="15"/>
      <c r="R111" s="15"/>
      <c r="S111" s="15"/>
      <c r="T111" s="50">
        <f>80</f>
        <v>80</v>
      </c>
      <c r="U111" s="50"/>
    </row>
    <row r="112" spans="1:21" s="1" customFormat="1" ht="13.5" customHeight="1">
      <c r="A112" s="12" t="s">
        <v>139</v>
      </c>
      <c r="B112" s="12"/>
      <c r="C112" s="12"/>
      <c r="D112" s="12"/>
      <c r="E112" s="12"/>
      <c r="F112" s="12"/>
      <c r="G112" s="13" t="s">
        <v>109</v>
      </c>
      <c r="H112" s="13"/>
      <c r="I112" s="13" t="s">
        <v>197</v>
      </c>
      <c r="J112" s="13"/>
      <c r="K112" s="21" t="s">
        <v>140</v>
      </c>
      <c r="L112" s="21"/>
      <c r="M112" s="15">
        <f>120000</f>
        <v>120000</v>
      </c>
      <c r="N112" s="15"/>
      <c r="O112" s="15">
        <f>119123</f>
        <v>119123</v>
      </c>
      <c r="P112" s="15"/>
      <c r="Q112" s="15"/>
      <c r="R112" s="15"/>
      <c r="S112" s="15"/>
      <c r="T112" s="50">
        <f>877</f>
        <v>877</v>
      </c>
      <c r="U112" s="50"/>
    </row>
    <row r="113" spans="1:21" s="1" customFormat="1" ht="13.5" customHeight="1">
      <c r="A113" s="12" t="s">
        <v>134</v>
      </c>
      <c r="B113" s="12"/>
      <c r="C113" s="12"/>
      <c r="D113" s="12"/>
      <c r="E113" s="12"/>
      <c r="F113" s="12"/>
      <c r="G113" s="13" t="s">
        <v>109</v>
      </c>
      <c r="H113" s="13"/>
      <c r="I113" s="13" t="s">
        <v>200</v>
      </c>
      <c r="J113" s="13"/>
      <c r="K113" s="21" t="s">
        <v>136</v>
      </c>
      <c r="L113" s="21"/>
      <c r="M113" s="15">
        <f>155271.77</f>
        <v>155271.77</v>
      </c>
      <c r="N113" s="15"/>
      <c r="O113" s="15">
        <f>82301.46</f>
        <v>82301.46</v>
      </c>
      <c r="P113" s="15"/>
      <c r="Q113" s="15"/>
      <c r="R113" s="15"/>
      <c r="S113" s="15"/>
      <c r="T113" s="50">
        <f>72970.31</f>
        <v>72970.31</v>
      </c>
      <c r="U113" s="50"/>
    </row>
    <row r="114" spans="1:21" s="1" customFormat="1" ht="13.5" customHeight="1">
      <c r="A114" s="12" t="s">
        <v>122</v>
      </c>
      <c r="B114" s="12"/>
      <c r="C114" s="12"/>
      <c r="D114" s="12"/>
      <c r="E114" s="12"/>
      <c r="F114" s="12"/>
      <c r="G114" s="13" t="s">
        <v>109</v>
      </c>
      <c r="H114" s="13"/>
      <c r="I114" s="13" t="s">
        <v>200</v>
      </c>
      <c r="J114" s="13"/>
      <c r="K114" s="21" t="s">
        <v>123</v>
      </c>
      <c r="L114" s="21"/>
      <c r="M114" s="15">
        <f>191800</f>
        <v>191800</v>
      </c>
      <c r="N114" s="15"/>
      <c r="O114" s="15">
        <f>53705.84</f>
        <v>53705.84</v>
      </c>
      <c r="P114" s="15"/>
      <c r="Q114" s="15"/>
      <c r="R114" s="15"/>
      <c r="S114" s="15"/>
      <c r="T114" s="50">
        <f>138094.16</f>
        <v>138094.16</v>
      </c>
      <c r="U114" s="50"/>
    </row>
    <row r="115" spans="1:21" s="1" customFormat="1" ht="13.5" customHeight="1">
      <c r="A115" s="12" t="s">
        <v>157</v>
      </c>
      <c r="B115" s="12"/>
      <c r="C115" s="12"/>
      <c r="D115" s="12"/>
      <c r="E115" s="12"/>
      <c r="F115" s="12"/>
      <c r="G115" s="13" t="s">
        <v>109</v>
      </c>
      <c r="H115" s="13"/>
      <c r="I115" s="13" t="s">
        <v>200</v>
      </c>
      <c r="J115" s="13"/>
      <c r="K115" s="21" t="s">
        <v>158</v>
      </c>
      <c r="L115" s="21"/>
      <c r="M115" s="15">
        <f>256461</f>
        <v>256461</v>
      </c>
      <c r="N115" s="15"/>
      <c r="O115" s="15">
        <f>201690</f>
        <v>201690</v>
      </c>
      <c r="P115" s="15"/>
      <c r="Q115" s="15"/>
      <c r="R115" s="15"/>
      <c r="S115" s="15"/>
      <c r="T115" s="50">
        <f>54771</f>
        <v>54771</v>
      </c>
      <c r="U115" s="50"/>
    </row>
    <row r="116" spans="1:21" s="1" customFormat="1" ht="13.5" customHeight="1">
      <c r="A116" s="12" t="s">
        <v>139</v>
      </c>
      <c r="B116" s="12"/>
      <c r="C116" s="12"/>
      <c r="D116" s="12"/>
      <c r="E116" s="12"/>
      <c r="F116" s="12"/>
      <c r="G116" s="13" t="s">
        <v>109</v>
      </c>
      <c r="H116" s="13"/>
      <c r="I116" s="13" t="s">
        <v>200</v>
      </c>
      <c r="J116" s="13"/>
      <c r="K116" s="21" t="s">
        <v>140</v>
      </c>
      <c r="L116" s="21"/>
      <c r="M116" s="15">
        <f>70000</f>
        <v>70000</v>
      </c>
      <c r="N116" s="15"/>
      <c r="O116" s="15">
        <f>54310</f>
        <v>54310</v>
      </c>
      <c r="P116" s="15"/>
      <c r="Q116" s="15"/>
      <c r="R116" s="15"/>
      <c r="S116" s="15"/>
      <c r="T116" s="50">
        <f>15690</f>
        <v>15690</v>
      </c>
      <c r="U116" s="50"/>
    </row>
    <row r="117" spans="1:21" s="1" customFormat="1" ht="13.5" customHeight="1">
      <c r="A117" s="12" t="s">
        <v>137</v>
      </c>
      <c r="B117" s="12"/>
      <c r="C117" s="12"/>
      <c r="D117" s="12"/>
      <c r="E117" s="12"/>
      <c r="F117" s="12"/>
      <c r="G117" s="13" t="s">
        <v>109</v>
      </c>
      <c r="H117" s="13"/>
      <c r="I117" s="13" t="s">
        <v>201</v>
      </c>
      <c r="J117" s="13"/>
      <c r="K117" s="21" t="s">
        <v>138</v>
      </c>
      <c r="L117" s="21"/>
      <c r="M117" s="15">
        <f>213086.64</f>
        <v>213086.64</v>
      </c>
      <c r="N117" s="15"/>
      <c r="O117" s="15">
        <f>69977.88</f>
        <v>69977.88</v>
      </c>
      <c r="P117" s="15"/>
      <c r="Q117" s="15"/>
      <c r="R117" s="15"/>
      <c r="S117" s="15"/>
      <c r="T117" s="50">
        <f>143108.76</f>
        <v>143108.76</v>
      </c>
      <c r="U117" s="50"/>
    </row>
    <row r="118" spans="1:21" s="1" customFormat="1" ht="13.5" customHeight="1">
      <c r="A118" s="12" t="s">
        <v>122</v>
      </c>
      <c r="B118" s="12"/>
      <c r="C118" s="12"/>
      <c r="D118" s="12"/>
      <c r="E118" s="12"/>
      <c r="F118" s="12"/>
      <c r="G118" s="13" t="s">
        <v>109</v>
      </c>
      <c r="H118" s="13"/>
      <c r="I118" s="13" t="s">
        <v>201</v>
      </c>
      <c r="J118" s="13"/>
      <c r="K118" s="21" t="s">
        <v>123</v>
      </c>
      <c r="L118" s="21"/>
      <c r="M118" s="15">
        <f>71916</f>
        <v>71916</v>
      </c>
      <c r="N118" s="15"/>
      <c r="O118" s="15">
        <f>71916</f>
        <v>71916</v>
      </c>
      <c r="P118" s="15"/>
      <c r="Q118" s="15"/>
      <c r="R118" s="15"/>
      <c r="S118" s="15"/>
      <c r="T118" s="50">
        <f>0</f>
        <v>0</v>
      </c>
      <c r="U118" s="50"/>
    </row>
    <row r="119" spans="1:21" s="1" customFormat="1" ht="13.5" customHeight="1">
      <c r="A119" s="12" t="s">
        <v>162</v>
      </c>
      <c r="B119" s="12"/>
      <c r="C119" s="12"/>
      <c r="D119" s="12"/>
      <c r="E119" s="12"/>
      <c r="F119" s="12"/>
      <c r="G119" s="13" t="s">
        <v>109</v>
      </c>
      <c r="H119" s="13"/>
      <c r="I119" s="13" t="s">
        <v>202</v>
      </c>
      <c r="J119" s="13"/>
      <c r="K119" s="21" t="s">
        <v>164</v>
      </c>
      <c r="L119" s="21"/>
      <c r="M119" s="15">
        <f>358500.7</f>
        <v>358500.7</v>
      </c>
      <c r="N119" s="15"/>
      <c r="O119" s="15">
        <f>346463.77</f>
        <v>346463.77</v>
      </c>
      <c r="P119" s="15"/>
      <c r="Q119" s="15"/>
      <c r="R119" s="15"/>
      <c r="S119" s="15"/>
      <c r="T119" s="50">
        <f>12036.93</f>
        <v>12036.93</v>
      </c>
      <c r="U119" s="50"/>
    </row>
    <row r="120" spans="1:21" s="1" customFormat="1" ht="24" customHeight="1">
      <c r="A120" s="12" t="s">
        <v>125</v>
      </c>
      <c r="B120" s="12"/>
      <c r="C120" s="12"/>
      <c r="D120" s="12"/>
      <c r="E120" s="12"/>
      <c r="F120" s="12"/>
      <c r="G120" s="13" t="s">
        <v>109</v>
      </c>
      <c r="H120" s="13"/>
      <c r="I120" s="13" t="s">
        <v>203</v>
      </c>
      <c r="J120" s="13"/>
      <c r="K120" s="21" t="s">
        <v>127</v>
      </c>
      <c r="L120" s="21"/>
      <c r="M120" s="15">
        <f>16289272.3</f>
        <v>16289272.3</v>
      </c>
      <c r="N120" s="15"/>
      <c r="O120" s="15">
        <f>16289272.3</f>
        <v>16289272.3</v>
      </c>
      <c r="P120" s="15"/>
      <c r="Q120" s="15"/>
      <c r="R120" s="15"/>
      <c r="S120" s="15"/>
      <c r="T120" s="50">
        <f>0</f>
        <v>0</v>
      </c>
      <c r="U120" s="50"/>
    </row>
    <row r="121" spans="1:21" s="1" customFormat="1" ht="24" customHeight="1">
      <c r="A121" s="12" t="s">
        <v>125</v>
      </c>
      <c r="B121" s="12"/>
      <c r="C121" s="12"/>
      <c r="D121" s="12"/>
      <c r="E121" s="12"/>
      <c r="F121" s="12"/>
      <c r="G121" s="13" t="s">
        <v>109</v>
      </c>
      <c r="H121" s="13"/>
      <c r="I121" s="13" t="s">
        <v>204</v>
      </c>
      <c r="J121" s="13"/>
      <c r="K121" s="21" t="s">
        <v>127</v>
      </c>
      <c r="L121" s="21"/>
      <c r="M121" s="15">
        <f>720</f>
        <v>720</v>
      </c>
      <c r="N121" s="15"/>
      <c r="O121" s="19" t="s">
        <v>43</v>
      </c>
      <c r="P121" s="19"/>
      <c r="Q121" s="19"/>
      <c r="R121" s="19"/>
      <c r="S121" s="19"/>
      <c r="T121" s="50">
        <f>720</f>
        <v>720</v>
      </c>
      <c r="U121" s="50"/>
    </row>
    <row r="122" spans="1:21" s="1" customFormat="1" ht="24" customHeight="1">
      <c r="A122" s="12" t="s">
        <v>125</v>
      </c>
      <c r="B122" s="12"/>
      <c r="C122" s="12"/>
      <c r="D122" s="12"/>
      <c r="E122" s="12"/>
      <c r="F122" s="12"/>
      <c r="G122" s="13" t="s">
        <v>109</v>
      </c>
      <c r="H122" s="13"/>
      <c r="I122" s="13" t="s">
        <v>205</v>
      </c>
      <c r="J122" s="13"/>
      <c r="K122" s="21" t="s">
        <v>127</v>
      </c>
      <c r="L122" s="21"/>
      <c r="M122" s="15">
        <f>480</f>
        <v>480</v>
      </c>
      <c r="N122" s="15"/>
      <c r="O122" s="19" t="s">
        <v>43</v>
      </c>
      <c r="P122" s="19"/>
      <c r="Q122" s="19"/>
      <c r="R122" s="19"/>
      <c r="S122" s="19"/>
      <c r="T122" s="50">
        <f>480</f>
        <v>480</v>
      </c>
      <c r="U122" s="50"/>
    </row>
    <row r="123" spans="1:21" s="1" customFormat="1" ht="13.5" customHeight="1">
      <c r="A123" s="12" t="s">
        <v>137</v>
      </c>
      <c r="B123" s="12"/>
      <c r="C123" s="12"/>
      <c r="D123" s="12"/>
      <c r="E123" s="12"/>
      <c r="F123" s="12"/>
      <c r="G123" s="13" t="s">
        <v>109</v>
      </c>
      <c r="H123" s="13"/>
      <c r="I123" s="13" t="s">
        <v>206</v>
      </c>
      <c r="J123" s="13"/>
      <c r="K123" s="21" t="s">
        <v>138</v>
      </c>
      <c r="L123" s="21"/>
      <c r="M123" s="15">
        <f>971748.31</f>
        <v>971748.31</v>
      </c>
      <c r="N123" s="15"/>
      <c r="O123" s="15">
        <f>844061</f>
        <v>844061</v>
      </c>
      <c r="P123" s="15"/>
      <c r="Q123" s="15"/>
      <c r="R123" s="15"/>
      <c r="S123" s="15"/>
      <c r="T123" s="50">
        <f>127687.31</f>
        <v>127687.31</v>
      </c>
      <c r="U123" s="50"/>
    </row>
    <row r="124" spans="1:21" s="1" customFormat="1" ht="13.5" customHeight="1">
      <c r="A124" s="12" t="s">
        <v>162</v>
      </c>
      <c r="B124" s="12"/>
      <c r="C124" s="12"/>
      <c r="D124" s="12"/>
      <c r="E124" s="12"/>
      <c r="F124" s="12"/>
      <c r="G124" s="13" t="s">
        <v>109</v>
      </c>
      <c r="H124" s="13"/>
      <c r="I124" s="13" t="s">
        <v>207</v>
      </c>
      <c r="J124" s="13"/>
      <c r="K124" s="21" t="s">
        <v>164</v>
      </c>
      <c r="L124" s="21"/>
      <c r="M124" s="15">
        <f>1044597.44</f>
        <v>1044597.44</v>
      </c>
      <c r="N124" s="15"/>
      <c r="O124" s="15">
        <f>563198.28</f>
        <v>563198.28</v>
      </c>
      <c r="P124" s="15"/>
      <c r="Q124" s="15"/>
      <c r="R124" s="15"/>
      <c r="S124" s="15"/>
      <c r="T124" s="50">
        <f>481399.16</f>
        <v>481399.16</v>
      </c>
      <c r="U124" s="50"/>
    </row>
    <row r="125" spans="1:21" s="1" customFormat="1" ht="13.5" customHeight="1">
      <c r="A125" s="12" t="s">
        <v>162</v>
      </c>
      <c r="B125" s="12"/>
      <c r="C125" s="12"/>
      <c r="D125" s="12"/>
      <c r="E125" s="12"/>
      <c r="F125" s="12"/>
      <c r="G125" s="13" t="s">
        <v>109</v>
      </c>
      <c r="H125" s="13"/>
      <c r="I125" s="13" t="s">
        <v>208</v>
      </c>
      <c r="J125" s="13"/>
      <c r="K125" s="21" t="s">
        <v>164</v>
      </c>
      <c r="L125" s="21"/>
      <c r="M125" s="15">
        <f>71180.97</f>
        <v>71180.97</v>
      </c>
      <c r="N125" s="15"/>
      <c r="O125" s="15">
        <f>65326.21</f>
        <v>65326.21</v>
      </c>
      <c r="P125" s="15"/>
      <c r="Q125" s="15"/>
      <c r="R125" s="15"/>
      <c r="S125" s="15"/>
      <c r="T125" s="50">
        <f>5854.76</f>
        <v>5854.76</v>
      </c>
      <c r="U125" s="50"/>
    </row>
    <row r="126" spans="1:21" s="1" customFormat="1" ht="13.5" customHeight="1">
      <c r="A126" s="12" t="s">
        <v>137</v>
      </c>
      <c r="B126" s="12"/>
      <c r="C126" s="12"/>
      <c r="D126" s="12"/>
      <c r="E126" s="12"/>
      <c r="F126" s="12"/>
      <c r="G126" s="13" t="s">
        <v>109</v>
      </c>
      <c r="H126" s="13"/>
      <c r="I126" s="13" t="s">
        <v>209</v>
      </c>
      <c r="J126" s="13"/>
      <c r="K126" s="21" t="s">
        <v>138</v>
      </c>
      <c r="L126" s="21"/>
      <c r="M126" s="15">
        <f>650000</f>
        <v>650000</v>
      </c>
      <c r="N126" s="15"/>
      <c r="O126" s="15">
        <f>324919.9</f>
        <v>324919.9</v>
      </c>
      <c r="P126" s="15"/>
      <c r="Q126" s="15"/>
      <c r="R126" s="15"/>
      <c r="S126" s="15"/>
      <c r="T126" s="50">
        <f>325080.1</f>
        <v>325080.1</v>
      </c>
      <c r="U126" s="50"/>
    </row>
    <row r="127" spans="1:21" s="1" customFormat="1" ht="13.5" customHeight="1">
      <c r="A127" s="12" t="s">
        <v>122</v>
      </c>
      <c r="B127" s="12"/>
      <c r="C127" s="12"/>
      <c r="D127" s="12"/>
      <c r="E127" s="12"/>
      <c r="F127" s="12"/>
      <c r="G127" s="13" t="s">
        <v>109</v>
      </c>
      <c r="H127" s="13"/>
      <c r="I127" s="13" t="s">
        <v>209</v>
      </c>
      <c r="J127" s="13"/>
      <c r="K127" s="21" t="s">
        <v>123</v>
      </c>
      <c r="L127" s="21"/>
      <c r="M127" s="15">
        <f>35176.8</f>
        <v>35176.8</v>
      </c>
      <c r="N127" s="15"/>
      <c r="O127" s="15">
        <f>35176.8</f>
        <v>35176.8</v>
      </c>
      <c r="P127" s="15"/>
      <c r="Q127" s="15"/>
      <c r="R127" s="15"/>
      <c r="S127" s="15"/>
      <c r="T127" s="50">
        <f>0</f>
        <v>0</v>
      </c>
      <c r="U127" s="50"/>
    </row>
    <row r="128" spans="1:21" s="1" customFormat="1" ht="13.5" customHeight="1">
      <c r="A128" s="12" t="s">
        <v>198</v>
      </c>
      <c r="B128" s="12"/>
      <c r="C128" s="12"/>
      <c r="D128" s="12"/>
      <c r="E128" s="12"/>
      <c r="F128" s="12"/>
      <c r="G128" s="13" t="s">
        <v>109</v>
      </c>
      <c r="H128" s="13"/>
      <c r="I128" s="13" t="s">
        <v>209</v>
      </c>
      <c r="J128" s="13"/>
      <c r="K128" s="21" t="s">
        <v>199</v>
      </c>
      <c r="L128" s="21"/>
      <c r="M128" s="15">
        <f>300000</f>
        <v>300000</v>
      </c>
      <c r="N128" s="15"/>
      <c r="O128" s="15">
        <f>165735.52</f>
        <v>165735.52</v>
      </c>
      <c r="P128" s="15"/>
      <c r="Q128" s="15"/>
      <c r="R128" s="15"/>
      <c r="S128" s="15"/>
      <c r="T128" s="50">
        <f>134264.48</f>
        <v>134264.48</v>
      </c>
      <c r="U128" s="50"/>
    </row>
    <row r="129" spans="1:21" s="1" customFormat="1" ht="13.5" customHeight="1">
      <c r="A129" s="12" t="s">
        <v>139</v>
      </c>
      <c r="B129" s="12"/>
      <c r="C129" s="12"/>
      <c r="D129" s="12"/>
      <c r="E129" s="12"/>
      <c r="F129" s="12"/>
      <c r="G129" s="13" t="s">
        <v>109</v>
      </c>
      <c r="H129" s="13"/>
      <c r="I129" s="13" t="s">
        <v>209</v>
      </c>
      <c r="J129" s="13"/>
      <c r="K129" s="21" t="s">
        <v>140</v>
      </c>
      <c r="L129" s="21"/>
      <c r="M129" s="15">
        <f>40000</f>
        <v>40000</v>
      </c>
      <c r="N129" s="15"/>
      <c r="O129" s="15">
        <f>25430</f>
        <v>25430</v>
      </c>
      <c r="P129" s="15"/>
      <c r="Q129" s="15"/>
      <c r="R129" s="15"/>
      <c r="S129" s="15"/>
      <c r="T129" s="50">
        <f>14570</f>
        <v>14570</v>
      </c>
      <c r="U129" s="50"/>
    </row>
    <row r="130" spans="1:21" s="1" customFormat="1" ht="13.5" customHeight="1">
      <c r="A130" s="12" t="s">
        <v>193</v>
      </c>
      <c r="B130" s="12"/>
      <c r="C130" s="12"/>
      <c r="D130" s="12"/>
      <c r="E130" s="12"/>
      <c r="F130" s="12"/>
      <c r="G130" s="13" t="s">
        <v>109</v>
      </c>
      <c r="H130" s="13"/>
      <c r="I130" s="13" t="s">
        <v>210</v>
      </c>
      <c r="J130" s="13"/>
      <c r="K130" s="21" t="s">
        <v>195</v>
      </c>
      <c r="L130" s="21"/>
      <c r="M130" s="15">
        <f>14720</f>
        <v>14720</v>
      </c>
      <c r="N130" s="15"/>
      <c r="O130" s="15">
        <f>14720</f>
        <v>14720</v>
      </c>
      <c r="P130" s="15"/>
      <c r="Q130" s="15"/>
      <c r="R130" s="15"/>
      <c r="S130" s="15"/>
      <c r="T130" s="50">
        <f>0</f>
        <v>0</v>
      </c>
      <c r="U130" s="50"/>
    </row>
    <row r="131" spans="1:21" s="1" customFormat="1" ht="13.5" customHeight="1">
      <c r="A131" s="12" t="s">
        <v>137</v>
      </c>
      <c r="B131" s="12"/>
      <c r="C131" s="12"/>
      <c r="D131" s="12"/>
      <c r="E131" s="12"/>
      <c r="F131" s="12"/>
      <c r="G131" s="13" t="s">
        <v>109</v>
      </c>
      <c r="H131" s="13"/>
      <c r="I131" s="13" t="s">
        <v>210</v>
      </c>
      <c r="J131" s="13"/>
      <c r="K131" s="21" t="s">
        <v>138</v>
      </c>
      <c r="L131" s="21"/>
      <c r="M131" s="15">
        <f>65280</f>
        <v>65280</v>
      </c>
      <c r="N131" s="15"/>
      <c r="O131" s="15">
        <f>5000</f>
        <v>5000</v>
      </c>
      <c r="P131" s="15"/>
      <c r="Q131" s="15"/>
      <c r="R131" s="15"/>
      <c r="S131" s="15"/>
      <c r="T131" s="50">
        <f>60280</f>
        <v>60280</v>
      </c>
      <c r="U131" s="50"/>
    </row>
    <row r="132" spans="1:21" s="1" customFormat="1" ht="13.5" customHeight="1">
      <c r="A132" s="12" t="s">
        <v>157</v>
      </c>
      <c r="B132" s="12"/>
      <c r="C132" s="12"/>
      <c r="D132" s="12"/>
      <c r="E132" s="12"/>
      <c r="F132" s="12"/>
      <c r="G132" s="13" t="s">
        <v>109</v>
      </c>
      <c r="H132" s="13"/>
      <c r="I132" s="13" t="s">
        <v>210</v>
      </c>
      <c r="J132" s="13"/>
      <c r="K132" s="21" t="s">
        <v>158</v>
      </c>
      <c r="L132" s="21"/>
      <c r="M132" s="15">
        <f>1760000</f>
        <v>1760000</v>
      </c>
      <c r="N132" s="15"/>
      <c r="O132" s="15">
        <f>495249.56</f>
        <v>495249.56</v>
      </c>
      <c r="P132" s="15"/>
      <c r="Q132" s="15"/>
      <c r="R132" s="15"/>
      <c r="S132" s="15"/>
      <c r="T132" s="50">
        <f>1264750.44</f>
        <v>1264750.44</v>
      </c>
      <c r="U132" s="50"/>
    </row>
    <row r="133" spans="1:21" s="1" customFormat="1" ht="13.5" customHeight="1">
      <c r="A133" s="12" t="s">
        <v>198</v>
      </c>
      <c r="B133" s="12"/>
      <c r="C133" s="12"/>
      <c r="D133" s="12"/>
      <c r="E133" s="12"/>
      <c r="F133" s="12"/>
      <c r="G133" s="13" t="s">
        <v>109</v>
      </c>
      <c r="H133" s="13"/>
      <c r="I133" s="13" t="s">
        <v>210</v>
      </c>
      <c r="J133" s="13"/>
      <c r="K133" s="21" t="s">
        <v>199</v>
      </c>
      <c r="L133" s="21"/>
      <c r="M133" s="15">
        <f>85000</f>
        <v>85000</v>
      </c>
      <c r="N133" s="15"/>
      <c r="O133" s="15">
        <f>61264.9</f>
        <v>61264.9</v>
      </c>
      <c r="P133" s="15"/>
      <c r="Q133" s="15"/>
      <c r="R133" s="15"/>
      <c r="S133" s="15"/>
      <c r="T133" s="50">
        <f>23735.1</f>
        <v>23735.1</v>
      </c>
      <c r="U133" s="50"/>
    </row>
    <row r="134" spans="1:21" s="1" customFormat="1" ht="13.5" customHeight="1">
      <c r="A134" s="12" t="s">
        <v>139</v>
      </c>
      <c r="B134" s="12"/>
      <c r="C134" s="12"/>
      <c r="D134" s="12"/>
      <c r="E134" s="12"/>
      <c r="F134" s="12"/>
      <c r="G134" s="13" t="s">
        <v>109</v>
      </c>
      <c r="H134" s="13"/>
      <c r="I134" s="13" t="s">
        <v>210</v>
      </c>
      <c r="J134" s="13"/>
      <c r="K134" s="21" t="s">
        <v>140</v>
      </c>
      <c r="L134" s="21"/>
      <c r="M134" s="15">
        <f>185000</f>
        <v>185000</v>
      </c>
      <c r="N134" s="15"/>
      <c r="O134" s="15">
        <f>16529.44</f>
        <v>16529.44</v>
      </c>
      <c r="P134" s="15"/>
      <c r="Q134" s="15"/>
      <c r="R134" s="15"/>
      <c r="S134" s="15"/>
      <c r="T134" s="50">
        <f>168470.56</f>
        <v>168470.56</v>
      </c>
      <c r="U134" s="50"/>
    </row>
    <row r="135" spans="1:21" s="1" customFormat="1" ht="24" customHeight="1">
      <c r="A135" s="12" t="s">
        <v>211</v>
      </c>
      <c r="B135" s="12"/>
      <c r="C135" s="12"/>
      <c r="D135" s="12"/>
      <c r="E135" s="12"/>
      <c r="F135" s="12"/>
      <c r="G135" s="13" t="s">
        <v>109</v>
      </c>
      <c r="H135" s="13"/>
      <c r="I135" s="13" t="s">
        <v>210</v>
      </c>
      <c r="J135" s="13"/>
      <c r="K135" s="21" t="s">
        <v>212</v>
      </c>
      <c r="L135" s="21"/>
      <c r="M135" s="15">
        <f>80000</f>
        <v>80000</v>
      </c>
      <c r="N135" s="15"/>
      <c r="O135" s="19" t="s">
        <v>43</v>
      </c>
      <c r="P135" s="19"/>
      <c r="Q135" s="19"/>
      <c r="R135" s="19"/>
      <c r="S135" s="19"/>
      <c r="T135" s="50">
        <f>80000</f>
        <v>80000</v>
      </c>
      <c r="U135" s="50"/>
    </row>
    <row r="136" spans="1:21" s="1" customFormat="1" ht="24" customHeight="1">
      <c r="A136" s="12" t="s">
        <v>125</v>
      </c>
      <c r="B136" s="12"/>
      <c r="C136" s="12"/>
      <c r="D136" s="12"/>
      <c r="E136" s="12"/>
      <c r="F136" s="12"/>
      <c r="G136" s="13" t="s">
        <v>109</v>
      </c>
      <c r="H136" s="13"/>
      <c r="I136" s="13" t="s">
        <v>213</v>
      </c>
      <c r="J136" s="13"/>
      <c r="K136" s="21" t="s">
        <v>127</v>
      </c>
      <c r="L136" s="21"/>
      <c r="M136" s="15">
        <f>6733800</f>
        <v>6733800</v>
      </c>
      <c r="N136" s="15"/>
      <c r="O136" s="19" t="s">
        <v>43</v>
      </c>
      <c r="P136" s="19"/>
      <c r="Q136" s="19"/>
      <c r="R136" s="19"/>
      <c r="S136" s="19"/>
      <c r="T136" s="50">
        <f>6733800</f>
        <v>6733800</v>
      </c>
      <c r="U136" s="50"/>
    </row>
    <row r="137" spans="1:21" s="1" customFormat="1" ht="24" customHeight="1">
      <c r="A137" s="12" t="s">
        <v>125</v>
      </c>
      <c r="B137" s="12"/>
      <c r="C137" s="12"/>
      <c r="D137" s="12"/>
      <c r="E137" s="12"/>
      <c r="F137" s="12"/>
      <c r="G137" s="13" t="s">
        <v>109</v>
      </c>
      <c r="H137" s="13"/>
      <c r="I137" s="13" t="s">
        <v>214</v>
      </c>
      <c r="J137" s="13"/>
      <c r="K137" s="21" t="s">
        <v>127</v>
      </c>
      <c r="L137" s="21"/>
      <c r="M137" s="15">
        <f>2886043.54</f>
        <v>2886043.54</v>
      </c>
      <c r="N137" s="15"/>
      <c r="O137" s="19" t="s">
        <v>43</v>
      </c>
      <c r="P137" s="19"/>
      <c r="Q137" s="19"/>
      <c r="R137" s="19"/>
      <c r="S137" s="19"/>
      <c r="T137" s="50">
        <f>2886043.54</f>
        <v>2886043.54</v>
      </c>
      <c r="U137" s="50"/>
    </row>
    <row r="138" spans="1:21" s="1" customFormat="1" ht="24" customHeight="1">
      <c r="A138" s="12" t="s">
        <v>125</v>
      </c>
      <c r="B138" s="12"/>
      <c r="C138" s="12"/>
      <c r="D138" s="12"/>
      <c r="E138" s="12"/>
      <c r="F138" s="12"/>
      <c r="G138" s="13" t="s">
        <v>109</v>
      </c>
      <c r="H138" s="13"/>
      <c r="I138" s="13" t="s">
        <v>215</v>
      </c>
      <c r="J138" s="13"/>
      <c r="K138" s="21" t="s">
        <v>127</v>
      </c>
      <c r="L138" s="21"/>
      <c r="M138" s="15">
        <f>295837</f>
        <v>295837</v>
      </c>
      <c r="N138" s="15"/>
      <c r="O138" s="15">
        <f>221877.75</f>
        <v>221877.75</v>
      </c>
      <c r="P138" s="15"/>
      <c r="Q138" s="15"/>
      <c r="R138" s="15"/>
      <c r="S138" s="15"/>
      <c r="T138" s="50">
        <f>73959.25</f>
        <v>73959.25</v>
      </c>
      <c r="U138" s="50"/>
    </row>
    <row r="139" spans="1:21" s="1" customFormat="1" ht="24" customHeight="1">
      <c r="A139" s="12" t="s">
        <v>125</v>
      </c>
      <c r="B139" s="12"/>
      <c r="C139" s="12"/>
      <c r="D139" s="12"/>
      <c r="E139" s="12"/>
      <c r="F139" s="12"/>
      <c r="G139" s="13" t="s">
        <v>109</v>
      </c>
      <c r="H139" s="13"/>
      <c r="I139" s="13" t="s">
        <v>216</v>
      </c>
      <c r="J139" s="13"/>
      <c r="K139" s="21" t="s">
        <v>127</v>
      </c>
      <c r="L139" s="21"/>
      <c r="M139" s="15">
        <f>506710</f>
        <v>506710</v>
      </c>
      <c r="N139" s="15"/>
      <c r="O139" s="15">
        <f>402919.75</f>
        <v>402919.75</v>
      </c>
      <c r="P139" s="15"/>
      <c r="Q139" s="15"/>
      <c r="R139" s="15"/>
      <c r="S139" s="15"/>
      <c r="T139" s="50">
        <f>103790.25</f>
        <v>103790.25</v>
      </c>
      <c r="U139" s="50"/>
    </row>
    <row r="140" spans="1:21" s="1" customFormat="1" ht="24" customHeight="1">
      <c r="A140" s="12" t="s">
        <v>211</v>
      </c>
      <c r="B140" s="12"/>
      <c r="C140" s="12"/>
      <c r="D140" s="12"/>
      <c r="E140" s="12"/>
      <c r="F140" s="12"/>
      <c r="G140" s="13" t="s">
        <v>109</v>
      </c>
      <c r="H140" s="13"/>
      <c r="I140" s="13" t="s">
        <v>217</v>
      </c>
      <c r="J140" s="13"/>
      <c r="K140" s="21" t="s">
        <v>212</v>
      </c>
      <c r="L140" s="21"/>
      <c r="M140" s="15">
        <f>16525</f>
        <v>16525</v>
      </c>
      <c r="N140" s="15"/>
      <c r="O140" s="15">
        <f>16525</f>
        <v>16525</v>
      </c>
      <c r="P140" s="15"/>
      <c r="Q140" s="15"/>
      <c r="R140" s="15"/>
      <c r="S140" s="15"/>
      <c r="T140" s="50">
        <f>0</f>
        <v>0</v>
      </c>
      <c r="U140" s="50"/>
    </row>
    <row r="141" spans="1:21" s="1" customFormat="1" ht="13.5" customHeight="1">
      <c r="A141" s="12" t="s">
        <v>198</v>
      </c>
      <c r="B141" s="12"/>
      <c r="C141" s="12"/>
      <c r="D141" s="12"/>
      <c r="E141" s="12"/>
      <c r="F141" s="12"/>
      <c r="G141" s="13" t="s">
        <v>109</v>
      </c>
      <c r="H141" s="13"/>
      <c r="I141" s="13" t="s">
        <v>218</v>
      </c>
      <c r="J141" s="13"/>
      <c r="K141" s="21" t="s">
        <v>199</v>
      </c>
      <c r="L141" s="21"/>
      <c r="M141" s="15">
        <f>12110</f>
        <v>12110</v>
      </c>
      <c r="N141" s="15"/>
      <c r="O141" s="15">
        <f>12110</f>
        <v>12110</v>
      </c>
      <c r="P141" s="15"/>
      <c r="Q141" s="15"/>
      <c r="R141" s="15"/>
      <c r="S141" s="15"/>
      <c r="T141" s="50">
        <f>0</f>
        <v>0</v>
      </c>
      <c r="U141" s="50"/>
    </row>
    <row r="142" spans="1:21" s="1" customFormat="1" ht="13.5" customHeight="1">
      <c r="A142" s="12" t="s">
        <v>139</v>
      </c>
      <c r="B142" s="12"/>
      <c r="C142" s="12"/>
      <c r="D142" s="12"/>
      <c r="E142" s="12"/>
      <c r="F142" s="12"/>
      <c r="G142" s="13" t="s">
        <v>109</v>
      </c>
      <c r="H142" s="13"/>
      <c r="I142" s="13" t="s">
        <v>218</v>
      </c>
      <c r="J142" s="13"/>
      <c r="K142" s="21" t="s">
        <v>140</v>
      </c>
      <c r="L142" s="21"/>
      <c r="M142" s="15">
        <f>47340</f>
        <v>47340</v>
      </c>
      <c r="N142" s="15"/>
      <c r="O142" s="19" t="s">
        <v>43</v>
      </c>
      <c r="P142" s="19"/>
      <c r="Q142" s="19"/>
      <c r="R142" s="19"/>
      <c r="S142" s="19"/>
      <c r="T142" s="50">
        <f>47340</f>
        <v>47340</v>
      </c>
      <c r="U142" s="50"/>
    </row>
    <row r="143" spans="1:21" s="1" customFormat="1" ht="24" customHeight="1">
      <c r="A143" s="12" t="s">
        <v>211</v>
      </c>
      <c r="B143" s="12"/>
      <c r="C143" s="12"/>
      <c r="D143" s="12"/>
      <c r="E143" s="12"/>
      <c r="F143" s="12"/>
      <c r="G143" s="13" t="s">
        <v>109</v>
      </c>
      <c r="H143" s="13"/>
      <c r="I143" s="13" t="s">
        <v>218</v>
      </c>
      <c r="J143" s="13"/>
      <c r="K143" s="21" t="s">
        <v>212</v>
      </c>
      <c r="L143" s="21"/>
      <c r="M143" s="15">
        <f>47550</f>
        <v>47550</v>
      </c>
      <c r="N143" s="15"/>
      <c r="O143" s="15">
        <f>23160</f>
        <v>23160</v>
      </c>
      <c r="P143" s="15"/>
      <c r="Q143" s="15"/>
      <c r="R143" s="15"/>
      <c r="S143" s="15"/>
      <c r="T143" s="50">
        <f>24390</f>
        <v>24390</v>
      </c>
      <c r="U143" s="50"/>
    </row>
    <row r="144" spans="1:21" s="1" customFormat="1" ht="13.5" customHeight="1">
      <c r="A144" s="12" t="s">
        <v>193</v>
      </c>
      <c r="B144" s="12"/>
      <c r="C144" s="12"/>
      <c r="D144" s="12"/>
      <c r="E144" s="12"/>
      <c r="F144" s="12"/>
      <c r="G144" s="13" t="s">
        <v>109</v>
      </c>
      <c r="H144" s="13"/>
      <c r="I144" s="13" t="s">
        <v>219</v>
      </c>
      <c r="J144" s="13"/>
      <c r="K144" s="21" t="s">
        <v>195</v>
      </c>
      <c r="L144" s="21"/>
      <c r="M144" s="15">
        <f>60000</f>
        <v>60000</v>
      </c>
      <c r="N144" s="15"/>
      <c r="O144" s="19" t="s">
        <v>43</v>
      </c>
      <c r="P144" s="19"/>
      <c r="Q144" s="19"/>
      <c r="R144" s="19"/>
      <c r="S144" s="19"/>
      <c r="T144" s="50">
        <f>60000</f>
        <v>60000</v>
      </c>
      <c r="U144" s="50"/>
    </row>
    <row r="145" spans="1:21" s="1" customFormat="1" ht="13.5" customHeight="1">
      <c r="A145" s="12" t="s">
        <v>122</v>
      </c>
      <c r="B145" s="12"/>
      <c r="C145" s="12"/>
      <c r="D145" s="12"/>
      <c r="E145" s="12"/>
      <c r="F145" s="12"/>
      <c r="G145" s="13" t="s">
        <v>109</v>
      </c>
      <c r="H145" s="13"/>
      <c r="I145" s="13" t="s">
        <v>219</v>
      </c>
      <c r="J145" s="13"/>
      <c r="K145" s="21" t="s">
        <v>123</v>
      </c>
      <c r="L145" s="21"/>
      <c r="M145" s="15">
        <f>277000</f>
        <v>277000</v>
      </c>
      <c r="N145" s="15"/>
      <c r="O145" s="15">
        <f>252297.96</f>
        <v>252297.96</v>
      </c>
      <c r="P145" s="15"/>
      <c r="Q145" s="15"/>
      <c r="R145" s="15"/>
      <c r="S145" s="15"/>
      <c r="T145" s="50">
        <f>24702.04</f>
        <v>24702.04</v>
      </c>
      <c r="U145" s="50"/>
    </row>
    <row r="146" spans="1:21" s="1" customFormat="1" ht="13.5" customHeight="1">
      <c r="A146" s="12" t="s">
        <v>139</v>
      </c>
      <c r="B146" s="12"/>
      <c r="C146" s="12"/>
      <c r="D146" s="12"/>
      <c r="E146" s="12"/>
      <c r="F146" s="12"/>
      <c r="G146" s="13" t="s">
        <v>109</v>
      </c>
      <c r="H146" s="13"/>
      <c r="I146" s="13" t="s">
        <v>219</v>
      </c>
      <c r="J146" s="13"/>
      <c r="K146" s="21" t="s">
        <v>140</v>
      </c>
      <c r="L146" s="21"/>
      <c r="M146" s="15">
        <f>462720</f>
        <v>462720</v>
      </c>
      <c r="N146" s="15"/>
      <c r="O146" s="15">
        <f>241120</f>
        <v>241120</v>
      </c>
      <c r="P146" s="15"/>
      <c r="Q146" s="15"/>
      <c r="R146" s="15"/>
      <c r="S146" s="15"/>
      <c r="T146" s="50">
        <f>221600</f>
        <v>221600</v>
      </c>
      <c r="U146" s="50"/>
    </row>
    <row r="147" spans="1:21" s="1" customFormat="1" ht="24" customHeight="1">
      <c r="A147" s="12" t="s">
        <v>211</v>
      </c>
      <c r="B147" s="12"/>
      <c r="C147" s="12"/>
      <c r="D147" s="12"/>
      <c r="E147" s="12"/>
      <c r="F147" s="12"/>
      <c r="G147" s="13" t="s">
        <v>109</v>
      </c>
      <c r="H147" s="13"/>
      <c r="I147" s="13" t="s">
        <v>219</v>
      </c>
      <c r="J147" s="13"/>
      <c r="K147" s="21" t="s">
        <v>212</v>
      </c>
      <c r="L147" s="21"/>
      <c r="M147" s="15">
        <f>280000</f>
        <v>280000</v>
      </c>
      <c r="N147" s="15"/>
      <c r="O147" s="15">
        <f>276758</f>
        <v>276758</v>
      </c>
      <c r="P147" s="15"/>
      <c r="Q147" s="15"/>
      <c r="R147" s="15"/>
      <c r="S147" s="15"/>
      <c r="T147" s="50">
        <f>3242</f>
        <v>3242</v>
      </c>
      <c r="U147" s="50"/>
    </row>
    <row r="148" spans="1:21" s="1" customFormat="1" ht="13.5" customHeight="1">
      <c r="A148" s="12" t="s">
        <v>110</v>
      </c>
      <c r="B148" s="12"/>
      <c r="C148" s="12"/>
      <c r="D148" s="12"/>
      <c r="E148" s="12"/>
      <c r="F148" s="12"/>
      <c r="G148" s="13" t="s">
        <v>109</v>
      </c>
      <c r="H148" s="13"/>
      <c r="I148" s="13" t="s">
        <v>220</v>
      </c>
      <c r="J148" s="13"/>
      <c r="K148" s="21" t="s">
        <v>112</v>
      </c>
      <c r="L148" s="21"/>
      <c r="M148" s="15">
        <f>3992987.41</f>
        <v>3992987.41</v>
      </c>
      <c r="N148" s="15"/>
      <c r="O148" s="15">
        <f>3230931.7</f>
        <v>3230931.7</v>
      </c>
      <c r="P148" s="15"/>
      <c r="Q148" s="15"/>
      <c r="R148" s="15"/>
      <c r="S148" s="15"/>
      <c r="T148" s="50">
        <f>762055.71</f>
        <v>762055.71</v>
      </c>
      <c r="U148" s="50"/>
    </row>
    <row r="149" spans="1:21" s="1" customFormat="1" ht="13.5" customHeight="1">
      <c r="A149" s="12" t="s">
        <v>117</v>
      </c>
      <c r="B149" s="12"/>
      <c r="C149" s="12"/>
      <c r="D149" s="12"/>
      <c r="E149" s="12"/>
      <c r="F149" s="12"/>
      <c r="G149" s="13" t="s">
        <v>109</v>
      </c>
      <c r="H149" s="13"/>
      <c r="I149" s="13" t="s">
        <v>220</v>
      </c>
      <c r="J149" s="13"/>
      <c r="K149" s="21" t="s">
        <v>118</v>
      </c>
      <c r="L149" s="21"/>
      <c r="M149" s="15">
        <f>33667.32</f>
        <v>33667.32</v>
      </c>
      <c r="N149" s="15"/>
      <c r="O149" s="15">
        <f>33667.32</f>
        <v>33667.32</v>
      </c>
      <c r="P149" s="15"/>
      <c r="Q149" s="15"/>
      <c r="R149" s="15"/>
      <c r="S149" s="15"/>
      <c r="T149" s="50">
        <f>0</f>
        <v>0</v>
      </c>
      <c r="U149" s="50"/>
    </row>
    <row r="150" spans="1:21" s="1" customFormat="1" ht="13.5" customHeight="1">
      <c r="A150" s="12" t="s">
        <v>131</v>
      </c>
      <c r="B150" s="12"/>
      <c r="C150" s="12"/>
      <c r="D150" s="12"/>
      <c r="E150" s="12"/>
      <c r="F150" s="12"/>
      <c r="G150" s="13" t="s">
        <v>109</v>
      </c>
      <c r="H150" s="13"/>
      <c r="I150" s="13" t="s">
        <v>221</v>
      </c>
      <c r="J150" s="13"/>
      <c r="K150" s="21" t="s">
        <v>133</v>
      </c>
      <c r="L150" s="21"/>
      <c r="M150" s="15">
        <f>274000</f>
        <v>274000</v>
      </c>
      <c r="N150" s="15"/>
      <c r="O150" s="15">
        <f>64364.1</f>
        <v>64364.1</v>
      </c>
      <c r="P150" s="15"/>
      <c r="Q150" s="15"/>
      <c r="R150" s="15"/>
      <c r="S150" s="15"/>
      <c r="T150" s="50">
        <f>209635.9</f>
        <v>209635.9</v>
      </c>
      <c r="U150" s="50"/>
    </row>
    <row r="151" spans="1:21" s="1" customFormat="1" ht="13.5" customHeight="1">
      <c r="A151" s="12" t="s">
        <v>113</v>
      </c>
      <c r="B151" s="12"/>
      <c r="C151" s="12"/>
      <c r="D151" s="12"/>
      <c r="E151" s="12"/>
      <c r="F151" s="12"/>
      <c r="G151" s="13" t="s">
        <v>109</v>
      </c>
      <c r="H151" s="13"/>
      <c r="I151" s="13" t="s">
        <v>222</v>
      </c>
      <c r="J151" s="13"/>
      <c r="K151" s="21" t="s">
        <v>115</v>
      </c>
      <c r="L151" s="21"/>
      <c r="M151" s="15">
        <f>1172214.88</f>
        <v>1172214.88</v>
      </c>
      <c r="N151" s="15"/>
      <c r="O151" s="15">
        <f>779713.81</f>
        <v>779713.81</v>
      </c>
      <c r="P151" s="15"/>
      <c r="Q151" s="15"/>
      <c r="R151" s="15"/>
      <c r="S151" s="15"/>
      <c r="T151" s="50">
        <f>392501.07</f>
        <v>392501.07</v>
      </c>
      <c r="U151" s="50"/>
    </row>
    <row r="152" spans="1:21" s="1" customFormat="1" ht="13.5" customHeight="1">
      <c r="A152" s="12" t="s">
        <v>134</v>
      </c>
      <c r="B152" s="12"/>
      <c r="C152" s="12"/>
      <c r="D152" s="12"/>
      <c r="E152" s="12"/>
      <c r="F152" s="12"/>
      <c r="G152" s="13" t="s">
        <v>109</v>
      </c>
      <c r="H152" s="13"/>
      <c r="I152" s="13" t="s">
        <v>223</v>
      </c>
      <c r="J152" s="13"/>
      <c r="K152" s="21" t="s">
        <v>136</v>
      </c>
      <c r="L152" s="21"/>
      <c r="M152" s="15">
        <f>55238.63</f>
        <v>55238.63</v>
      </c>
      <c r="N152" s="15"/>
      <c r="O152" s="15">
        <f>19071.76</f>
        <v>19071.76</v>
      </c>
      <c r="P152" s="15"/>
      <c r="Q152" s="15"/>
      <c r="R152" s="15"/>
      <c r="S152" s="15"/>
      <c r="T152" s="50">
        <f>36166.87</f>
        <v>36166.87</v>
      </c>
      <c r="U152" s="50"/>
    </row>
    <row r="153" spans="1:21" s="1" customFormat="1" ht="13.5" customHeight="1">
      <c r="A153" s="12" t="s">
        <v>122</v>
      </c>
      <c r="B153" s="12"/>
      <c r="C153" s="12"/>
      <c r="D153" s="12"/>
      <c r="E153" s="12"/>
      <c r="F153" s="12"/>
      <c r="G153" s="13" t="s">
        <v>109</v>
      </c>
      <c r="H153" s="13"/>
      <c r="I153" s="13" t="s">
        <v>223</v>
      </c>
      <c r="J153" s="13"/>
      <c r="K153" s="21" t="s">
        <v>123</v>
      </c>
      <c r="L153" s="21"/>
      <c r="M153" s="15">
        <f>5900</f>
        <v>5900</v>
      </c>
      <c r="N153" s="15"/>
      <c r="O153" s="19" t="s">
        <v>43</v>
      </c>
      <c r="P153" s="19"/>
      <c r="Q153" s="19"/>
      <c r="R153" s="19"/>
      <c r="S153" s="19"/>
      <c r="T153" s="50">
        <f>5900</f>
        <v>5900</v>
      </c>
      <c r="U153" s="50"/>
    </row>
    <row r="154" spans="1:21" s="1" customFormat="1" ht="13.5" customHeight="1">
      <c r="A154" s="12" t="s">
        <v>162</v>
      </c>
      <c r="B154" s="12"/>
      <c r="C154" s="12"/>
      <c r="D154" s="12"/>
      <c r="E154" s="12"/>
      <c r="F154" s="12"/>
      <c r="G154" s="13" t="s">
        <v>109</v>
      </c>
      <c r="H154" s="13"/>
      <c r="I154" s="13" t="s">
        <v>224</v>
      </c>
      <c r="J154" s="13"/>
      <c r="K154" s="21" t="s">
        <v>164</v>
      </c>
      <c r="L154" s="21"/>
      <c r="M154" s="15">
        <f>30300</f>
        <v>30300</v>
      </c>
      <c r="N154" s="15"/>
      <c r="O154" s="15">
        <f>6863.25</f>
        <v>6863.25</v>
      </c>
      <c r="P154" s="15"/>
      <c r="Q154" s="15"/>
      <c r="R154" s="15"/>
      <c r="S154" s="15"/>
      <c r="T154" s="50">
        <f>23436.75</f>
        <v>23436.75</v>
      </c>
      <c r="U154" s="50"/>
    </row>
    <row r="155" spans="1:21" s="1" customFormat="1" ht="13.5" customHeight="1">
      <c r="A155" s="12" t="s">
        <v>137</v>
      </c>
      <c r="B155" s="12"/>
      <c r="C155" s="12"/>
      <c r="D155" s="12"/>
      <c r="E155" s="12"/>
      <c r="F155" s="12"/>
      <c r="G155" s="13" t="s">
        <v>109</v>
      </c>
      <c r="H155" s="13"/>
      <c r="I155" s="13" t="s">
        <v>224</v>
      </c>
      <c r="J155" s="13"/>
      <c r="K155" s="21" t="s">
        <v>138</v>
      </c>
      <c r="L155" s="21"/>
      <c r="M155" s="15">
        <f>17850</f>
        <v>17850</v>
      </c>
      <c r="N155" s="15"/>
      <c r="O155" s="15">
        <f>4000</f>
        <v>4000</v>
      </c>
      <c r="P155" s="15"/>
      <c r="Q155" s="15"/>
      <c r="R155" s="15"/>
      <c r="S155" s="15"/>
      <c r="T155" s="50">
        <f>13850</f>
        <v>13850</v>
      </c>
      <c r="U155" s="50"/>
    </row>
    <row r="156" spans="1:21" s="1" customFormat="1" ht="13.5" customHeight="1">
      <c r="A156" s="12" t="s">
        <v>122</v>
      </c>
      <c r="B156" s="12"/>
      <c r="C156" s="12"/>
      <c r="D156" s="12"/>
      <c r="E156" s="12"/>
      <c r="F156" s="12"/>
      <c r="G156" s="13" t="s">
        <v>109</v>
      </c>
      <c r="H156" s="13"/>
      <c r="I156" s="13" t="s">
        <v>224</v>
      </c>
      <c r="J156" s="13"/>
      <c r="K156" s="21" t="s">
        <v>123</v>
      </c>
      <c r="L156" s="21"/>
      <c r="M156" s="15">
        <f>47850</f>
        <v>47850</v>
      </c>
      <c r="N156" s="15"/>
      <c r="O156" s="15">
        <f>47850</f>
        <v>47850</v>
      </c>
      <c r="P156" s="15"/>
      <c r="Q156" s="15"/>
      <c r="R156" s="15"/>
      <c r="S156" s="15"/>
      <c r="T156" s="50">
        <f>0</f>
        <v>0</v>
      </c>
      <c r="U156" s="50"/>
    </row>
    <row r="157" spans="1:21" s="1" customFormat="1" ht="13.5" customHeight="1">
      <c r="A157" s="12" t="s">
        <v>157</v>
      </c>
      <c r="B157" s="12"/>
      <c r="C157" s="12"/>
      <c r="D157" s="12"/>
      <c r="E157" s="12"/>
      <c r="F157" s="12"/>
      <c r="G157" s="13" t="s">
        <v>109</v>
      </c>
      <c r="H157" s="13"/>
      <c r="I157" s="13" t="s">
        <v>224</v>
      </c>
      <c r="J157" s="13"/>
      <c r="K157" s="21" t="s">
        <v>158</v>
      </c>
      <c r="L157" s="21"/>
      <c r="M157" s="15">
        <f>6000</f>
        <v>6000</v>
      </c>
      <c r="N157" s="15"/>
      <c r="O157" s="15">
        <f>6000</f>
        <v>6000</v>
      </c>
      <c r="P157" s="15"/>
      <c r="Q157" s="15"/>
      <c r="R157" s="15"/>
      <c r="S157" s="15"/>
      <c r="T157" s="50">
        <f>0</f>
        <v>0</v>
      </c>
      <c r="U157" s="50"/>
    </row>
    <row r="158" spans="1:21" s="1" customFormat="1" ht="13.5" customHeight="1">
      <c r="A158" s="12" t="s">
        <v>139</v>
      </c>
      <c r="B158" s="12"/>
      <c r="C158" s="12"/>
      <c r="D158" s="12"/>
      <c r="E158" s="12"/>
      <c r="F158" s="12"/>
      <c r="G158" s="13" t="s">
        <v>109</v>
      </c>
      <c r="H158" s="13"/>
      <c r="I158" s="13" t="s">
        <v>224</v>
      </c>
      <c r="J158" s="13"/>
      <c r="K158" s="21" t="s">
        <v>140</v>
      </c>
      <c r="L158" s="21"/>
      <c r="M158" s="15">
        <f>93500</f>
        <v>93500</v>
      </c>
      <c r="N158" s="15"/>
      <c r="O158" s="15">
        <f>25328.3</f>
        <v>25328.3</v>
      </c>
      <c r="P158" s="15"/>
      <c r="Q158" s="15"/>
      <c r="R158" s="15"/>
      <c r="S158" s="15"/>
      <c r="T158" s="50">
        <f>68171.7</f>
        <v>68171.7</v>
      </c>
      <c r="U158" s="50"/>
    </row>
    <row r="159" spans="1:21" s="1" customFormat="1" ht="13.5" customHeight="1">
      <c r="A159" s="12" t="s">
        <v>162</v>
      </c>
      <c r="B159" s="12"/>
      <c r="C159" s="12"/>
      <c r="D159" s="12"/>
      <c r="E159" s="12"/>
      <c r="F159" s="12"/>
      <c r="G159" s="13" t="s">
        <v>109</v>
      </c>
      <c r="H159" s="13"/>
      <c r="I159" s="13" t="s">
        <v>225</v>
      </c>
      <c r="J159" s="13"/>
      <c r="K159" s="21" t="s">
        <v>164</v>
      </c>
      <c r="L159" s="21"/>
      <c r="M159" s="15">
        <f>501943.36</f>
        <v>501943.36</v>
      </c>
      <c r="N159" s="15"/>
      <c r="O159" s="15">
        <f>241772.79</f>
        <v>241772.79</v>
      </c>
      <c r="P159" s="15"/>
      <c r="Q159" s="15"/>
      <c r="R159" s="15"/>
      <c r="S159" s="15"/>
      <c r="T159" s="50">
        <f>260170.57</f>
        <v>260170.57</v>
      </c>
      <c r="U159" s="50"/>
    </row>
    <row r="160" spans="1:21" s="1" customFormat="1" ht="13.5" customHeight="1">
      <c r="A160" s="12" t="s">
        <v>146</v>
      </c>
      <c r="B160" s="12"/>
      <c r="C160" s="12"/>
      <c r="D160" s="12"/>
      <c r="E160" s="12"/>
      <c r="F160" s="12"/>
      <c r="G160" s="13" t="s">
        <v>109</v>
      </c>
      <c r="H160" s="13"/>
      <c r="I160" s="13" t="s">
        <v>226</v>
      </c>
      <c r="J160" s="13"/>
      <c r="K160" s="21" t="s">
        <v>148</v>
      </c>
      <c r="L160" s="21"/>
      <c r="M160" s="15">
        <f>18500</f>
        <v>18500</v>
      </c>
      <c r="N160" s="15"/>
      <c r="O160" s="15">
        <f>9820</f>
        <v>9820</v>
      </c>
      <c r="P160" s="15"/>
      <c r="Q160" s="15"/>
      <c r="R160" s="15"/>
      <c r="S160" s="15"/>
      <c r="T160" s="50">
        <f>8680</f>
        <v>8680</v>
      </c>
      <c r="U160" s="50"/>
    </row>
    <row r="161" spans="1:21" s="1" customFormat="1" ht="13.5" customHeight="1">
      <c r="A161" s="12" t="s">
        <v>110</v>
      </c>
      <c r="B161" s="12"/>
      <c r="C161" s="12"/>
      <c r="D161" s="12"/>
      <c r="E161" s="12"/>
      <c r="F161" s="12"/>
      <c r="G161" s="13" t="s">
        <v>109</v>
      </c>
      <c r="H161" s="13"/>
      <c r="I161" s="13" t="s">
        <v>227</v>
      </c>
      <c r="J161" s="13"/>
      <c r="K161" s="21" t="s">
        <v>112</v>
      </c>
      <c r="L161" s="21"/>
      <c r="M161" s="15">
        <f>1740012.59</f>
        <v>1740012.59</v>
      </c>
      <c r="N161" s="15"/>
      <c r="O161" s="15">
        <f>964252.56</f>
        <v>964252.56</v>
      </c>
      <c r="P161" s="15"/>
      <c r="Q161" s="15"/>
      <c r="R161" s="15"/>
      <c r="S161" s="15"/>
      <c r="T161" s="50">
        <f>775760.03</f>
        <v>775760.03</v>
      </c>
      <c r="U161" s="50"/>
    </row>
    <row r="162" spans="1:21" s="1" customFormat="1" ht="13.5" customHeight="1">
      <c r="A162" s="12" t="s">
        <v>113</v>
      </c>
      <c r="B162" s="12"/>
      <c r="C162" s="12"/>
      <c r="D162" s="12"/>
      <c r="E162" s="12"/>
      <c r="F162" s="12"/>
      <c r="G162" s="13" t="s">
        <v>109</v>
      </c>
      <c r="H162" s="13"/>
      <c r="I162" s="13" t="s">
        <v>228</v>
      </c>
      <c r="J162" s="13"/>
      <c r="K162" s="21" t="s">
        <v>115</v>
      </c>
      <c r="L162" s="21"/>
      <c r="M162" s="15">
        <f>525483.8</f>
        <v>525483.8</v>
      </c>
      <c r="N162" s="15"/>
      <c r="O162" s="15">
        <f>303284.79</f>
        <v>303284.79</v>
      </c>
      <c r="P162" s="15"/>
      <c r="Q162" s="15"/>
      <c r="R162" s="15"/>
      <c r="S162" s="15"/>
      <c r="T162" s="50">
        <f>222199.01</f>
        <v>222199.01</v>
      </c>
      <c r="U162" s="50"/>
    </row>
    <row r="163" spans="1:21" s="1" customFormat="1" ht="24" customHeight="1">
      <c r="A163" s="12" t="s">
        <v>229</v>
      </c>
      <c r="B163" s="12"/>
      <c r="C163" s="12"/>
      <c r="D163" s="12"/>
      <c r="E163" s="12"/>
      <c r="F163" s="12"/>
      <c r="G163" s="13" t="s">
        <v>109</v>
      </c>
      <c r="H163" s="13"/>
      <c r="I163" s="13" t="s">
        <v>230</v>
      </c>
      <c r="J163" s="13"/>
      <c r="K163" s="21" t="s">
        <v>231</v>
      </c>
      <c r="L163" s="21"/>
      <c r="M163" s="15">
        <f>252000</f>
        <v>252000</v>
      </c>
      <c r="N163" s="15"/>
      <c r="O163" s="15">
        <f>168000</f>
        <v>168000</v>
      </c>
      <c r="P163" s="15"/>
      <c r="Q163" s="15"/>
      <c r="R163" s="15"/>
      <c r="S163" s="15"/>
      <c r="T163" s="50">
        <f>84000</f>
        <v>84000</v>
      </c>
      <c r="U163" s="50"/>
    </row>
    <row r="164" spans="1:21" s="1" customFormat="1" ht="13.5" customHeight="1">
      <c r="A164" s="12" t="s">
        <v>139</v>
      </c>
      <c r="B164" s="12"/>
      <c r="C164" s="12"/>
      <c r="D164" s="12"/>
      <c r="E164" s="12"/>
      <c r="F164" s="12"/>
      <c r="G164" s="13" t="s">
        <v>109</v>
      </c>
      <c r="H164" s="13"/>
      <c r="I164" s="13" t="s">
        <v>232</v>
      </c>
      <c r="J164" s="13"/>
      <c r="K164" s="21" t="s">
        <v>140</v>
      </c>
      <c r="L164" s="21"/>
      <c r="M164" s="15">
        <f>5000</f>
        <v>5000</v>
      </c>
      <c r="N164" s="15"/>
      <c r="O164" s="19" t="s">
        <v>43</v>
      </c>
      <c r="P164" s="19"/>
      <c r="Q164" s="19"/>
      <c r="R164" s="19"/>
      <c r="S164" s="19"/>
      <c r="T164" s="50">
        <f>5000</f>
        <v>5000</v>
      </c>
      <c r="U164" s="50"/>
    </row>
    <row r="165" spans="1:21" s="1" customFormat="1" ht="24" customHeight="1">
      <c r="A165" s="12" t="s">
        <v>211</v>
      </c>
      <c r="B165" s="12"/>
      <c r="C165" s="12"/>
      <c r="D165" s="12"/>
      <c r="E165" s="12"/>
      <c r="F165" s="12"/>
      <c r="G165" s="13" t="s">
        <v>109</v>
      </c>
      <c r="H165" s="13"/>
      <c r="I165" s="13" t="s">
        <v>232</v>
      </c>
      <c r="J165" s="13"/>
      <c r="K165" s="21" t="s">
        <v>212</v>
      </c>
      <c r="L165" s="21"/>
      <c r="M165" s="15">
        <f>60200</f>
        <v>60200</v>
      </c>
      <c r="N165" s="15"/>
      <c r="O165" s="15">
        <f>40000</f>
        <v>40000</v>
      </c>
      <c r="P165" s="15"/>
      <c r="Q165" s="15"/>
      <c r="R165" s="15"/>
      <c r="S165" s="15"/>
      <c r="T165" s="50">
        <f>20200</f>
        <v>20200</v>
      </c>
      <c r="U165" s="50"/>
    </row>
    <row r="166" spans="1:21" s="1" customFormat="1" ht="15" customHeight="1">
      <c r="A166" s="46" t="s">
        <v>233</v>
      </c>
      <c r="B166" s="46"/>
      <c r="C166" s="46"/>
      <c r="D166" s="46"/>
      <c r="E166" s="46"/>
      <c r="F166" s="46"/>
      <c r="G166" s="47" t="s">
        <v>234</v>
      </c>
      <c r="H166" s="47"/>
      <c r="I166" s="47" t="s">
        <v>38</v>
      </c>
      <c r="J166" s="47"/>
      <c r="K166" s="48" t="s">
        <v>38</v>
      </c>
      <c r="L166" s="48"/>
      <c r="M166" s="49">
        <f>-6555488.82</f>
        <v>-6555488.82</v>
      </c>
      <c r="N166" s="49"/>
      <c r="O166" s="49">
        <f>2473363.95</f>
        <v>2473363.95</v>
      </c>
      <c r="P166" s="49"/>
      <c r="Q166" s="49"/>
      <c r="R166" s="49"/>
      <c r="S166" s="49"/>
      <c r="T166" s="41" t="s">
        <v>38</v>
      </c>
      <c r="U166" s="41"/>
    </row>
    <row r="167" spans="1:21" s="1" customFormat="1" ht="13.5" customHeight="1">
      <c r="A167" s="9" t="s">
        <v>18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" customFormat="1" ht="13.5" customHeight="1">
      <c r="A168" s="42" t="s">
        <v>235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s="1" customFormat="1" ht="45.75" customHeight="1">
      <c r="A169" s="43" t="s">
        <v>24</v>
      </c>
      <c r="B169" s="43"/>
      <c r="C169" s="43"/>
      <c r="D169" s="43"/>
      <c r="E169" s="43"/>
      <c r="F169" s="43"/>
      <c r="G169" s="43"/>
      <c r="H169" s="43" t="s">
        <v>25</v>
      </c>
      <c r="I169" s="43"/>
      <c r="J169" s="43" t="s">
        <v>236</v>
      </c>
      <c r="K169" s="43"/>
      <c r="L169" s="44" t="s">
        <v>27</v>
      </c>
      <c r="M169" s="44"/>
      <c r="N169" s="44" t="s">
        <v>28</v>
      </c>
      <c r="O169" s="44"/>
      <c r="P169" s="44"/>
      <c r="Q169" s="44"/>
      <c r="R169" s="44"/>
      <c r="S169" s="45" t="s">
        <v>29</v>
      </c>
      <c r="T169" s="45"/>
      <c r="U169" s="45"/>
    </row>
    <row r="170" spans="1:21" s="1" customFormat="1" ht="12.75" customHeight="1">
      <c r="A170" s="38" t="s">
        <v>30</v>
      </c>
      <c r="B170" s="38"/>
      <c r="C170" s="38"/>
      <c r="D170" s="38"/>
      <c r="E170" s="38"/>
      <c r="F170" s="38"/>
      <c r="G170" s="38"/>
      <c r="H170" s="38" t="s">
        <v>31</v>
      </c>
      <c r="I170" s="38"/>
      <c r="J170" s="38" t="s">
        <v>32</v>
      </c>
      <c r="K170" s="38"/>
      <c r="L170" s="39" t="s">
        <v>33</v>
      </c>
      <c r="M170" s="39"/>
      <c r="N170" s="39" t="s">
        <v>34</v>
      </c>
      <c r="O170" s="39"/>
      <c r="P170" s="39"/>
      <c r="Q170" s="39"/>
      <c r="R170" s="39"/>
      <c r="S170" s="40" t="s">
        <v>35</v>
      </c>
      <c r="T170" s="40"/>
      <c r="U170" s="40"/>
    </row>
    <row r="171" spans="1:21" s="1" customFormat="1" ht="13.5" customHeight="1">
      <c r="A171" s="33" t="s">
        <v>237</v>
      </c>
      <c r="B171" s="33"/>
      <c r="C171" s="33"/>
      <c r="D171" s="33"/>
      <c r="E171" s="33"/>
      <c r="F171" s="33"/>
      <c r="G171" s="33"/>
      <c r="H171" s="34" t="s">
        <v>238</v>
      </c>
      <c r="I171" s="34"/>
      <c r="J171" s="34" t="s">
        <v>38</v>
      </c>
      <c r="K171" s="34"/>
      <c r="L171" s="35">
        <f>6555488.82</f>
        <v>6555488.82</v>
      </c>
      <c r="M171" s="35"/>
      <c r="N171" s="36">
        <f>-2473363.95</f>
        <v>-2473363.95</v>
      </c>
      <c r="O171" s="36"/>
      <c r="P171" s="36"/>
      <c r="Q171" s="36"/>
      <c r="R171" s="36"/>
      <c r="S171" s="37" t="s">
        <v>38</v>
      </c>
      <c r="T171" s="37"/>
      <c r="U171" s="37"/>
    </row>
    <row r="172" spans="1:21" s="1" customFormat="1" ht="13.5" customHeight="1">
      <c r="A172" s="31" t="s">
        <v>239</v>
      </c>
      <c r="B172" s="31"/>
      <c r="C172" s="31"/>
      <c r="D172" s="31"/>
      <c r="E172" s="31"/>
      <c r="F172" s="31"/>
      <c r="G172" s="31"/>
      <c r="H172" s="22" t="s">
        <v>18</v>
      </c>
      <c r="I172" s="22"/>
      <c r="J172" s="22" t="s">
        <v>18</v>
      </c>
      <c r="K172" s="22"/>
      <c r="L172" s="23" t="s">
        <v>18</v>
      </c>
      <c r="M172" s="23"/>
      <c r="N172" s="32" t="s">
        <v>18</v>
      </c>
      <c r="O172" s="32"/>
      <c r="P172" s="32"/>
      <c r="Q172" s="32"/>
      <c r="R172" s="32"/>
      <c r="S172" s="24" t="s">
        <v>18</v>
      </c>
      <c r="T172" s="24"/>
      <c r="U172" s="24"/>
    </row>
    <row r="173" spans="1:21" s="1" customFormat="1" ht="13.5" customHeight="1">
      <c r="A173" s="25" t="s">
        <v>240</v>
      </c>
      <c r="B173" s="25"/>
      <c r="C173" s="25"/>
      <c r="D173" s="25"/>
      <c r="E173" s="25"/>
      <c r="F173" s="25"/>
      <c r="G173" s="25"/>
      <c r="H173" s="26" t="s">
        <v>241</v>
      </c>
      <c r="I173" s="26"/>
      <c r="J173" s="27" t="s">
        <v>38</v>
      </c>
      <c r="K173" s="27"/>
      <c r="L173" s="28" t="s">
        <v>43</v>
      </c>
      <c r="M173" s="28"/>
      <c r="N173" s="29" t="s">
        <v>43</v>
      </c>
      <c r="O173" s="29"/>
      <c r="P173" s="29"/>
      <c r="Q173" s="29"/>
      <c r="R173" s="29"/>
      <c r="S173" s="30" t="s">
        <v>43</v>
      </c>
      <c r="T173" s="30"/>
      <c r="U173" s="30"/>
    </row>
    <row r="174" spans="1:21" s="1" customFormat="1" ht="13.5" customHeight="1">
      <c r="A174" s="21" t="s">
        <v>18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s="1" customFormat="1" ht="13.5" customHeight="1">
      <c r="A175" s="12" t="s">
        <v>242</v>
      </c>
      <c r="B175" s="12"/>
      <c r="C175" s="12"/>
      <c r="D175" s="12"/>
      <c r="E175" s="12"/>
      <c r="F175" s="12"/>
      <c r="G175" s="12"/>
      <c r="H175" s="22" t="s">
        <v>243</v>
      </c>
      <c r="I175" s="22"/>
      <c r="J175" s="22" t="s">
        <v>38</v>
      </c>
      <c r="K175" s="22"/>
      <c r="L175" s="23" t="s">
        <v>43</v>
      </c>
      <c r="M175" s="23"/>
      <c r="N175" s="19" t="s">
        <v>43</v>
      </c>
      <c r="O175" s="19"/>
      <c r="P175" s="19"/>
      <c r="Q175" s="19"/>
      <c r="R175" s="19"/>
      <c r="S175" s="24" t="s">
        <v>43</v>
      </c>
      <c r="T175" s="24"/>
      <c r="U175" s="24"/>
    </row>
    <row r="176" spans="1:21" s="1" customFormat="1" ht="13.5" customHeight="1">
      <c r="A176" s="12" t="s">
        <v>18</v>
      </c>
      <c r="B176" s="12"/>
      <c r="C176" s="12"/>
      <c r="D176" s="12"/>
      <c r="E176" s="12"/>
      <c r="F176" s="12"/>
      <c r="G176" s="12"/>
      <c r="H176" s="13" t="s">
        <v>243</v>
      </c>
      <c r="I176" s="13"/>
      <c r="J176" s="13" t="s">
        <v>18</v>
      </c>
      <c r="K176" s="13"/>
      <c r="L176" s="18" t="s">
        <v>43</v>
      </c>
      <c r="M176" s="18"/>
      <c r="N176" s="19" t="s">
        <v>43</v>
      </c>
      <c r="O176" s="19"/>
      <c r="P176" s="19"/>
      <c r="Q176" s="19"/>
      <c r="R176" s="19"/>
      <c r="S176" s="20" t="s">
        <v>43</v>
      </c>
      <c r="T176" s="20"/>
      <c r="U176" s="20"/>
    </row>
    <row r="177" spans="1:21" s="1" customFormat="1" ht="13.5" customHeight="1">
      <c r="A177" s="12" t="s">
        <v>244</v>
      </c>
      <c r="B177" s="12"/>
      <c r="C177" s="12"/>
      <c r="D177" s="12"/>
      <c r="E177" s="12"/>
      <c r="F177" s="12"/>
      <c r="G177" s="12"/>
      <c r="H177" s="13" t="s">
        <v>245</v>
      </c>
      <c r="I177" s="13"/>
      <c r="J177" s="13" t="s">
        <v>246</v>
      </c>
      <c r="K177" s="13"/>
      <c r="L177" s="14">
        <f>6555488.82</f>
        <v>6555488.82</v>
      </c>
      <c r="M177" s="14"/>
      <c r="N177" s="15">
        <f>-2473363.95</f>
        <v>-2473363.95</v>
      </c>
      <c r="O177" s="15"/>
      <c r="P177" s="15"/>
      <c r="Q177" s="15"/>
      <c r="R177" s="15"/>
      <c r="S177" s="17">
        <f>9028852.77</f>
        <v>9028852.77</v>
      </c>
      <c r="T177" s="17"/>
      <c r="U177" s="17"/>
    </row>
    <row r="178" spans="1:21" s="1" customFormat="1" ht="13.5" customHeight="1">
      <c r="A178" s="12" t="s">
        <v>247</v>
      </c>
      <c r="B178" s="12"/>
      <c r="C178" s="12"/>
      <c r="D178" s="12"/>
      <c r="E178" s="12"/>
      <c r="F178" s="12"/>
      <c r="G178" s="12"/>
      <c r="H178" s="13" t="s">
        <v>248</v>
      </c>
      <c r="I178" s="13"/>
      <c r="J178" s="13" t="s">
        <v>249</v>
      </c>
      <c r="K178" s="13"/>
      <c r="L178" s="14">
        <f>-81451775.87</f>
        <v>-81451775.87</v>
      </c>
      <c r="M178" s="14"/>
      <c r="N178" s="15">
        <f>-55339843.87</f>
        <v>-55339843.87</v>
      </c>
      <c r="O178" s="15"/>
      <c r="P178" s="15"/>
      <c r="Q178" s="15"/>
      <c r="R178" s="15"/>
      <c r="S178" s="16" t="s">
        <v>38</v>
      </c>
      <c r="T178" s="16"/>
      <c r="U178" s="16"/>
    </row>
    <row r="179" spans="1:21" s="1" customFormat="1" ht="13.5" customHeight="1">
      <c r="A179" s="12" t="s">
        <v>250</v>
      </c>
      <c r="B179" s="12"/>
      <c r="C179" s="12"/>
      <c r="D179" s="12"/>
      <c r="E179" s="12"/>
      <c r="F179" s="12"/>
      <c r="G179" s="12"/>
      <c r="H179" s="13" t="s">
        <v>251</v>
      </c>
      <c r="I179" s="13"/>
      <c r="J179" s="13" t="s">
        <v>252</v>
      </c>
      <c r="K179" s="13"/>
      <c r="L179" s="14">
        <f>88007264.69</f>
        <v>88007264.69</v>
      </c>
      <c r="M179" s="14"/>
      <c r="N179" s="15">
        <f>52866479.92</f>
        <v>52866479.92</v>
      </c>
      <c r="O179" s="15"/>
      <c r="P179" s="15"/>
      <c r="Q179" s="15"/>
      <c r="R179" s="15"/>
      <c r="S179" s="16" t="s">
        <v>38</v>
      </c>
      <c r="T179" s="16"/>
      <c r="U179" s="16"/>
    </row>
    <row r="180" spans="1:21" s="1" customFormat="1" ht="13.5" customHeight="1">
      <c r="A180" s="8" t="s">
        <v>18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s="1" customFormat="1" ht="15.75" customHeight="1">
      <c r="A181" s="9" t="s">
        <v>18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1" customFormat="1" ht="13.5" customHeight="1">
      <c r="A182" s="10"/>
      <c r="B182" s="10"/>
      <c r="C182" s="10"/>
      <c r="D182" s="10"/>
      <c r="E182" s="10"/>
      <c r="F182" s="9" t="s">
        <v>18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s="1" customFormat="1" ht="13.5" customHeight="1">
      <c r="A183" s="11" t="s">
        <v>253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</sheetData>
  <sheetProtection/>
  <mergeCells count="1136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A44:G44"/>
    <mergeCell ref="H44:I44"/>
    <mergeCell ref="J44:K44"/>
    <mergeCell ref="L44:M44"/>
    <mergeCell ref="N44:R44"/>
    <mergeCell ref="S44:U44"/>
    <mergeCell ref="A45:U45"/>
    <mergeCell ref="A46:U46"/>
    <mergeCell ref="A47:F47"/>
    <mergeCell ref="G47:H47"/>
    <mergeCell ref="I47:J47"/>
    <mergeCell ref="K47:L47"/>
    <mergeCell ref="M47:N47"/>
    <mergeCell ref="O47:S47"/>
    <mergeCell ref="T47:U47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T154:U154"/>
    <mergeCell ref="A155:F155"/>
    <mergeCell ref="G155:H155"/>
    <mergeCell ref="I155:J155"/>
    <mergeCell ref="K155:L155"/>
    <mergeCell ref="M155:N155"/>
    <mergeCell ref="O155:S155"/>
    <mergeCell ref="T155:U155"/>
    <mergeCell ref="A154:F154"/>
    <mergeCell ref="G154:H154"/>
    <mergeCell ref="O157:S157"/>
    <mergeCell ref="T157:U157"/>
    <mergeCell ref="A156:F156"/>
    <mergeCell ref="G156:H156"/>
    <mergeCell ref="I156:J156"/>
    <mergeCell ref="K156:L156"/>
    <mergeCell ref="M156:N156"/>
    <mergeCell ref="O156:S156"/>
    <mergeCell ref="I158:J158"/>
    <mergeCell ref="K158:L158"/>
    <mergeCell ref="M158:N158"/>
    <mergeCell ref="O158:S158"/>
    <mergeCell ref="T156:U156"/>
    <mergeCell ref="A157:F157"/>
    <mergeCell ref="G157:H157"/>
    <mergeCell ref="I157:J157"/>
    <mergeCell ref="K157:L157"/>
    <mergeCell ref="M157:N157"/>
    <mergeCell ref="T158:U158"/>
    <mergeCell ref="A159:F159"/>
    <mergeCell ref="G159:H159"/>
    <mergeCell ref="I159:J159"/>
    <mergeCell ref="K159:L159"/>
    <mergeCell ref="M159:N159"/>
    <mergeCell ref="O159:S159"/>
    <mergeCell ref="T159:U159"/>
    <mergeCell ref="A158:F158"/>
    <mergeCell ref="G158:H158"/>
    <mergeCell ref="O161:S161"/>
    <mergeCell ref="T161:U161"/>
    <mergeCell ref="A160:F160"/>
    <mergeCell ref="G160:H160"/>
    <mergeCell ref="I160:J160"/>
    <mergeCell ref="K160:L160"/>
    <mergeCell ref="M160:N160"/>
    <mergeCell ref="O160:S160"/>
    <mergeCell ref="I162:J162"/>
    <mergeCell ref="K162:L162"/>
    <mergeCell ref="M162:N162"/>
    <mergeCell ref="O162:S162"/>
    <mergeCell ref="T160:U160"/>
    <mergeCell ref="A161:F161"/>
    <mergeCell ref="G161:H161"/>
    <mergeCell ref="I161:J161"/>
    <mergeCell ref="K161:L161"/>
    <mergeCell ref="M161:N161"/>
    <mergeCell ref="T162:U162"/>
    <mergeCell ref="A163:F163"/>
    <mergeCell ref="G163:H163"/>
    <mergeCell ref="I163:J163"/>
    <mergeCell ref="K163:L163"/>
    <mergeCell ref="M163:N163"/>
    <mergeCell ref="O163:S163"/>
    <mergeCell ref="T163:U163"/>
    <mergeCell ref="A162:F162"/>
    <mergeCell ref="G162:H162"/>
    <mergeCell ref="A164:F164"/>
    <mergeCell ref="G164:H164"/>
    <mergeCell ref="I164:J164"/>
    <mergeCell ref="K164:L164"/>
    <mergeCell ref="M164:N164"/>
    <mergeCell ref="O164:S164"/>
    <mergeCell ref="A165:F165"/>
    <mergeCell ref="G165:H165"/>
    <mergeCell ref="I165:J165"/>
    <mergeCell ref="K165:L165"/>
    <mergeCell ref="M165:N165"/>
    <mergeCell ref="O165:S165"/>
    <mergeCell ref="G166:H166"/>
    <mergeCell ref="I166:J166"/>
    <mergeCell ref="K166:L166"/>
    <mergeCell ref="M166:N166"/>
    <mergeCell ref="O166:S166"/>
    <mergeCell ref="T164:U164"/>
    <mergeCell ref="T165:U165"/>
    <mergeCell ref="T166:U166"/>
    <mergeCell ref="A167:U167"/>
    <mergeCell ref="A168:U168"/>
    <mergeCell ref="A169:G169"/>
    <mergeCell ref="H169:I169"/>
    <mergeCell ref="J169:K169"/>
    <mergeCell ref="L169:M169"/>
    <mergeCell ref="N169:R169"/>
    <mergeCell ref="S169:U169"/>
    <mergeCell ref="A166:F166"/>
    <mergeCell ref="A170:G170"/>
    <mergeCell ref="H170:I170"/>
    <mergeCell ref="J170:K170"/>
    <mergeCell ref="L170:M170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2:G172"/>
    <mergeCell ref="H172:I172"/>
    <mergeCell ref="J172:K172"/>
    <mergeCell ref="L172:M172"/>
    <mergeCell ref="N172:R172"/>
    <mergeCell ref="S172:U172"/>
    <mergeCell ref="A173:G173"/>
    <mergeCell ref="H173:I173"/>
    <mergeCell ref="J173:K173"/>
    <mergeCell ref="L173:M173"/>
    <mergeCell ref="N173:R173"/>
    <mergeCell ref="S173:U173"/>
    <mergeCell ref="A174:U174"/>
    <mergeCell ref="A175:G175"/>
    <mergeCell ref="H175:I175"/>
    <mergeCell ref="J175:K175"/>
    <mergeCell ref="L175:M175"/>
    <mergeCell ref="N175:R175"/>
    <mergeCell ref="S175:U175"/>
    <mergeCell ref="A176:G176"/>
    <mergeCell ref="H176:I176"/>
    <mergeCell ref="J176:K176"/>
    <mergeCell ref="L176:M176"/>
    <mergeCell ref="N176:R176"/>
    <mergeCell ref="S176:U176"/>
    <mergeCell ref="A177:G177"/>
    <mergeCell ref="H177:I177"/>
    <mergeCell ref="J177:K177"/>
    <mergeCell ref="L177:M177"/>
    <mergeCell ref="N177:R177"/>
    <mergeCell ref="S177:U177"/>
    <mergeCell ref="S179:U179"/>
    <mergeCell ref="A178:G178"/>
    <mergeCell ref="H178:I178"/>
    <mergeCell ref="J178:K178"/>
    <mergeCell ref="L178:M178"/>
    <mergeCell ref="N178:R178"/>
    <mergeCell ref="S178:U178"/>
    <mergeCell ref="A180:U180"/>
    <mergeCell ref="A181:U181"/>
    <mergeCell ref="A182:E182"/>
    <mergeCell ref="F182:U182"/>
    <mergeCell ref="A183:U183"/>
    <mergeCell ref="A179:G179"/>
    <mergeCell ref="H179:I179"/>
    <mergeCell ref="J179:K179"/>
    <mergeCell ref="L179:M179"/>
    <mergeCell ref="N179:R17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5" max="255" man="1"/>
    <brk id="16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2023-05-24T05:57:15Z</dcterms:created>
  <dcterms:modified xsi:type="dcterms:W3CDTF">2023-05-24T06:01:54Z</dcterms:modified>
  <cp:category/>
  <cp:version/>
  <cp:contentType/>
  <cp:contentStatus/>
</cp:coreProperties>
</file>