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<sst xmlns="http://schemas.openxmlformats.org/spreadsheetml/2006/main" count="444" uniqueCount="201">
  <si>
    <t>ОТЧЕТ ОБ ИСПОЛНЕНИИ БЮДЖЕТА</t>
  </si>
  <si>
    <t>КОДЫ</t>
  </si>
  <si>
    <t xml:space="preserve">Форма по ОКУД </t>
  </si>
  <si>
    <t>0503117</t>
  </si>
  <si>
    <t>на 1 марта 2016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</si>
  <si>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</si>
  <si>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</si>
  <si>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</si>
  <si>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</si>
  <si>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</si>
  <si>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</si>
  <si>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</si>
  <si>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</si>
  <si>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</si>
  <si>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</si>
  <si>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</si>
  <si>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</si>
  <si>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</si>
  <si>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</si>
  <si>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</si>
  <si>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</si>
  <si>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</si>
  <si>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</si>
  <si>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</si>
  <si>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</si>
  <si>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</si>
  <si>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</si>
  <si>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</si>
  <si>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</si>
  <si>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</si>
  <si>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</si>
  <si>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</si>
  <si>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</si>
  <si>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</si>
  <si>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</si>
  <si>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</si>
  <si>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</si>
  <si>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</si>
  <si>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</si>
  <si>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</si>
  <si>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</si>
  <si>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</si>
  <si>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</si>
  <si>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</si>
  <si>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</si>
  <si>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</si>
  <si>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</si>
  <si>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</si>
  <si>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</si>
  <si>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</si>
  <si>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</si>
  <si>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</si>
  <si>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</si>
  <si>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</si>
  <si>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</si>
  <si>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</si>
  <si>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</si>
  <si>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</si>
  <si>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</si>
  <si>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</si>
  <si>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</si>
  <si>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</si>
  <si>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</si>
  <si>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</si>
  <si>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</si>
  <si>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</si>
  <si>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</si>
  <si>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</si>
  <si>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</si>
  <si>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</si>
  <si>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</si>
  <si>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</si>
  <si>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</si>
  <si>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</si>
  <si>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</si>
  <si>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</si>
  <si>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</si>
  <si>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Прочие дотации бюджетам городских поселений</t>
  </si>
  <si>
    <t>650 20201999 13 0000 151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</si>
  <si>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</si>
  <si>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</si>
  <si>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</si>
  <si>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</si>
  <si>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</si>
  <si>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</si>
  <si>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</si>
  <si>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</si>
  <si>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</si>
  <si>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</si>
  <si>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</si>
  <si>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650 0102 0901102030 121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</si>
  <si>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</si>
  <si>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650 0102 0901102030 129</t>
  </si>
  <si>
    <t>650 0104 0901202040 121</t>
  </si>
  <si>
    <t>Иные выплаты персоналу государственных (муниципальных) органов, за исключением фонда оплаты труда</t>
  </si>
  <si>
    <t>650 0104 0901202040 122</t>
  </si>
  <si>
    <t>650 0104 0901202040 129</t>
  </si>
  <si>
    <t>Иные межбюджетные трансферты</t>
  </si>
  <si>
    <t>650 0104 6000002040 540</t>
  </si>
  <si>
    <t>Резервные средства</t>
  </si>
  <si>
    <t>650 0111 6000007050 870</t>
  </si>
  <si>
    <t>Прочая закупка товаров, работ и услуг для обеспечения государственных (муниципальных) нужд</t>
  </si>
  <si>
    <t>650 0113 0113402400 244</t>
  </si>
  <si>
    <t>650 0113 0131102400 244</t>
  </si>
  <si>
    <t>650 0113 0901502400 244</t>
  </si>
  <si>
    <t>Уплата налога на имущество организаций и земельного налога</t>
  </si>
  <si>
    <t>650 0113 0901502400 851</t>
  </si>
  <si>
    <t>Уплата прочих налогов, сборов</t>
  </si>
  <si>
    <t>650 0113 0901502400 852</t>
  </si>
  <si>
    <t>650 0113 0902102400 122</t>
  </si>
  <si>
    <t>650 0113 0903102400 852</t>
  </si>
  <si>
    <t>Фонд оплаты труда казенных учреждений</t>
  </si>
  <si>
    <t>650 0113 6000000590 111</t>
  </si>
  <si>
    <t>Иные выплаты персоналу казенных учреждений, за исключением фонда оплаты труда</t>
  </si>
  <si>
    <t>650 0113 6000000590 112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</si>
  <si>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</si>
  <si>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650 0113 6000000590 119</t>
  </si>
  <si>
    <t>Закупка товаров, работ, услуг в сфере информационно-коммуникационных технологий</t>
  </si>
  <si>
    <t>650 0113 6000000590 242</t>
  </si>
  <si>
    <t>650 0113 6000000590 244</t>
  </si>
  <si>
    <t>650 0113 6000000590 851</t>
  </si>
  <si>
    <t>650 0113 6000000590 852</t>
  </si>
  <si>
    <t>650 0203 0901451180 121</t>
  </si>
  <si>
    <t>650 0203 0901451180 122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</si>
  <si>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</si>
  <si>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</si>
  <si>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</si>
  <si>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</si>
  <si>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</si>
  <si>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09013D9300 244</t>
  </si>
  <si>
    <t>650 0314 0222474020 244</t>
  </si>
  <si>
    <t>650 0314 0222574020 244</t>
  </si>
  <si>
    <t>650 0314 6000082300 244</t>
  </si>
  <si>
    <t>650 0314 60000S2300 244</t>
  </si>
  <si>
    <t>650 0401 0901685060 244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</si>
  <si>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</si>
  <si>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650 0408 0331174030 810</t>
  </si>
  <si>
    <t>650 0409 0311174190 244</t>
  </si>
  <si>
    <t>650 0409 0311189190 244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</si>
  <si>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</si>
  <si>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</si>
  <si>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</si>
  <si>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</si>
  <si>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</si>
  <si>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</si>
  <si>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650 0501 6000003550 244</t>
  </si>
  <si>
    <t>650 0502 6000003510 810</t>
  </si>
  <si>
    <t>650 0502 6000082190 540</t>
  </si>
  <si>
    <t>650 0502 60000S2190 540</t>
  </si>
  <si>
    <t>650 0503 0511176100 244</t>
  </si>
  <si>
    <t>650 0503 0511276100 244</t>
  </si>
  <si>
    <t>650 0503 0521176400 244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</si>
  <si>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</si>
  <si>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</si>
  <si>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</si>
  <si>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</si>
  <si>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</si>
  <si>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</si>
  <si>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650 0707 0623174060 244</t>
  </si>
  <si>
    <t>650 0707 0625174060 244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</si>
  <si>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</si>
  <si>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</si>
  <si>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</si>
  <si>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</si>
  <si>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</si>
  <si>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</si>
  <si>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</si>
  <si>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</si>
  <si>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</si>
  <si>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650 0801 0611582440 111</t>
  </si>
  <si>
    <t>650 0801 0611582440 119</t>
  </si>
  <si>
    <t>650 0801 06115S2440 111</t>
  </si>
  <si>
    <t>650 0801 06115S2440 119</t>
  </si>
  <si>
    <t>650 0801 0613174060 244</t>
  </si>
  <si>
    <t>Пособия, компенсации и иные социальные выплаты гражданам, кроме публичных нормативных обязательств</t>
  </si>
  <si>
    <t>650 1001 0121100220 321</t>
  </si>
  <si>
    <t>650 1101 0631170040 244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</si>
  <si>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</si>
  <si>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</si>
  <si>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</si>
  <si>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</si>
  <si>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</si>
  <si>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</si>
  <si>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</si>
  <si>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</si>
  <si>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</si>
  <si>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</si>
  <si>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</si>
  <si>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</si>
  <si>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</si>
  <si>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</si>
  <si>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</si>
  <si>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</si>
  <si>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</si>
  <si>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</si>
  <si>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 xml:space="preserve">     уменьшение остатков средств</t>
  </si>
  <si>
    <t>720</t>
  </si>
  <si>
    <t>650 01050201 13 0000 610</t>
  </si>
  <si>
    <t xml:space="preserve">   1 марта 2016 г.   </t>
  </si>
  <si>
    <t>Форма 0503117 с.1</t>
  </si>
  <si>
    <t>000 01050201 13 0000 510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</si>
</sst>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5" fillId="2" borderId="20" xfId="0" applyNumberFormat="1" applyFont="1" applyFill="1" applyBorder="1" applyAlignment="1">
      <alignment horizont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 wrapText="1"/>
    </xf>
    <xf numFmtId="0" fontId="4" fillId="2" borderId="21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right" vertical="center" wrapText="1"/>
    </xf>
    <xf numFmtId="0" fontId="3" fillId="2" borderId="29" xfId="0" applyNumberFormat="1" applyFont="1" applyFill="1" applyBorder="1" applyAlignment="1">
      <alignment horizontal="right" vertical="center" wrapText="1"/>
    </xf>
    <xf numFmtId="0" fontId="3" fillId="2" borderId="30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workbookViewId="0" topLeftCell="A1">
      <selection activeCell="A3" sqref="A3:L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384" width="11.57421875" style="0" customWidth="1"/>
  </cols>
  <sheetData>
    <row r="1" spans="1:15" s="1" customFormat="1" ht="13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 t="s">
        <v>1</v>
      </c>
    </row>
    <row r="2" spans="1:15" s="1" customFormat="1" ht="13.5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" t="s">
        <v>3</v>
      </c>
    </row>
    <row r="3" spans="1:15" s="1" customFormat="1" ht="13.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5</v>
      </c>
      <c r="N3" s="32"/>
      <c r="O3" s="4">
        <v>42430</v>
      </c>
    </row>
    <row r="4" spans="1:15" s="1" customFormat="1" ht="13.5" customHeight="1">
      <c r="A4" s="33" t="s">
        <v>6</v>
      </c>
      <c r="B4" s="33"/>
      <c r="C4" s="33"/>
      <c r="D4" s="34" t="s">
        <v>7</v>
      </c>
      <c r="E4" s="34"/>
      <c r="F4" s="34"/>
      <c r="G4" s="34"/>
      <c r="H4" s="34"/>
      <c r="I4" s="34"/>
      <c r="J4" s="34"/>
      <c r="K4" s="34"/>
      <c r="L4" s="32" t="s">
        <v>8</v>
      </c>
      <c r="M4" s="32"/>
      <c r="N4" s="32"/>
      <c r="O4" s="5" t="s">
        <v>9</v>
      </c>
    </row>
    <row r="5" spans="1:15" s="1" customFormat="1" ht="13.5" customHeight="1">
      <c r="A5" s="33"/>
      <c r="B5" s="33"/>
      <c r="C5" s="33"/>
      <c r="D5" s="34"/>
      <c r="E5" s="34"/>
      <c r="F5" s="34"/>
      <c r="G5" s="34"/>
      <c r="H5" s="34"/>
      <c r="I5" s="34"/>
      <c r="J5" s="34"/>
      <c r="K5" s="34"/>
      <c r="L5" s="32" t="s">
        <v>10</v>
      </c>
      <c r="M5" s="32"/>
      <c r="N5" s="32"/>
      <c r="O5" s="5" t="s">
        <v>11</v>
      </c>
    </row>
    <row r="6" spans="1:15" s="1" customFormat="1" ht="13.5" customHeight="1">
      <c r="A6" s="33" t="s">
        <v>12</v>
      </c>
      <c r="B6" s="33"/>
      <c r="C6" s="33"/>
      <c r="D6" s="33"/>
      <c r="E6" s="34" t="s">
        <v>13</v>
      </c>
      <c r="F6" s="34"/>
      <c r="G6" s="34"/>
      <c r="H6" s="34"/>
      <c r="I6" s="34"/>
      <c r="J6" s="34"/>
      <c r="K6" s="34"/>
      <c r="L6" s="32" t="s">
        <v>14</v>
      </c>
      <c r="M6" s="32"/>
      <c r="N6" s="32"/>
      <c r="O6" s="5" t="s">
        <v>15</v>
      </c>
    </row>
    <row r="7" spans="1:15" s="1" customFormat="1" ht="13.5" customHeight="1">
      <c r="A7" s="6" t="s">
        <v>16</v>
      </c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5"/>
    </row>
    <row r="8" spans="1:15" s="1" customFormat="1" ht="13.5" customHeight="1">
      <c r="A8" s="33" t="s">
        <v>18</v>
      </c>
      <c r="B8" s="33"/>
      <c r="C8" s="33" t="s">
        <v>19</v>
      </c>
      <c r="D8" s="33"/>
      <c r="E8" s="33"/>
      <c r="F8" s="33"/>
      <c r="G8" s="33"/>
      <c r="H8" s="33"/>
      <c r="I8" s="33"/>
      <c r="J8" s="33"/>
      <c r="K8" s="32" t="s">
        <v>20</v>
      </c>
      <c r="L8" s="32"/>
      <c r="M8" s="32"/>
      <c r="N8" s="32"/>
      <c r="O8" s="7" t="s">
        <v>21</v>
      </c>
    </row>
    <row r="9" spans="1:15" s="1" customFormat="1" ht="13.5" customHeight="1">
      <c r="A9" s="35" t="s">
        <v>22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1" customFormat="1" ht="34.5" customHeight="1">
      <c r="A10" s="36" t="s">
        <v>23</v>
      </c>
      <c r="B10" s="36"/>
      <c r="C10" s="36"/>
      <c r="D10" s="36"/>
      <c r="E10" s="36"/>
      <c r="F10" s="36"/>
      <c r="G10" s="8" t="s">
        <v>24</v>
      </c>
      <c r="H10" s="8" t="s">
        <v>25</v>
      </c>
      <c r="I10" s="9" t="s">
        <v>26</v>
      </c>
      <c r="J10" s="37" t="s">
        <v>27</v>
      </c>
      <c r="K10" s="37"/>
      <c r="L10" s="37"/>
      <c r="M10" s="37"/>
      <c r="N10" s="38" t="s">
        <v>28</v>
      </c>
      <c r="O10" s="38"/>
    </row>
    <row r="11" spans="1:15" s="1" customFormat="1" ht="12.75" customHeight="1">
      <c r="A11" s="39" t="s">
        <v>29</v>
      </c>
      <c r="B11" s="39"/>
      <c r="C11" s="39"/>
      <c r="D11" s="39"/>
      <c r="E11" s="39"/>
      <c r="F11" s="39"/>
      <c r="G11" s="10" t="s">
        <v>30</v>
      </c>
      <c r="H11" s="10" t="s">
        <v>31</v>
      </c>
      <c r="I11" s="11" t="s">
        <v>32</v>
      </c>
      <c r="J11" s="40" t="s">
        <v>33</v>
      </c>
      <c r="K11" s="40"/>
      <c r="L11" s="40"/>
      <c r="M11" s="40"/>
      <c r="N11" s="41" t="s">
        <v>34</v>
      </c>
      <c r="O11" s="41"/>
    </row>
    <row r="12" spans="1:15" s="1" customFormat="1" ht="13.5" customHeight="1">
      <c r="A12" s="42" t="s">
        <v>35</v>
      </c>
      <c r="B12" s="42"/>
      <c r="C12" s="42"/>
      <c r="D12" s="42"/>
      <c r="E12" s="42"/>
      <c r="F12" s="42"/>
      <c r="G12" s="12" t="s">
        <v>36</v>
      </c>
      <c r="H12" s="12" t="s">
        <v>37</v>
      </c>
      <c r="I12" s="13">
        <f>69199423</f>
        <v>69199423</v>
      </c>
      <c r="J12" s="43">
        <f>7372393.14</f>
        <v>7372393.14</v>
      </c>
      <c r="K12" s="43"/>
      <c r="L12" s="43"/>
      <c r="M12" s="43"/>
      <c r="N12" s="44">
        <f>61827029.86</f>
        <v>61827029.86</v>
      </c>
      <c r="O12" s="44"/>
    </row>
    <row r="13" spans="1:15" s="1" customFormat="1" ht="45" customHeight="1">
      <c r="A13" s="45" t="s">
        <v>38</v>
      </c>
      <c r="B13" s="45"/>
      <c r="C13" s="45"/>
      <c r="D13" s="45"/>
      <c r="E13" s="45"/>
      <c r="F13" s="45"/>
      <c r="G13" s="14" t="s">
        <v>36</v>
      </c>
      <c r="H13" s="14" t="s">
        <v>39</v>
      </c>
      <c r="I13" s="15">
        <f>248000</f>
        <v>248000</v>
      </c>
      <c r="J13" s="46">
        <f>45807.31</f>
        <v>45807.31</v>
      </c>
      <c r="K13" s="46"/>
      <c r="L13" s="46"/>
      <c r="M13" s="46"/>
      <c r="N13" s="47">
        <f>202192.69</f>
        <v>202192.69</v>
      </c>
      <c r="O13" s="47"/>
    </row>
    <row r="14" spans="1:15" s="1" customFormat="1" ht="33.75" customHeight="1">
      <c r="A14" s="45" t="s">
        <v>40</v>
      </c>
      <c r="B14" s="45"/>
      <c r="C14" s="45"/>
      <c r="D14" s="45"/>
      <c r="E14" s="45"/>
      <c r="F14" s="45"/>
      <c r="G14" s="14" t="s">
        <v>36</v>
      </c>
      <c r="H14" s="14" t="s">
        <v>41</v>
      </c>
      <c r="I14" s="15">
        <f>32000</f>
        <v>32000</v>
      </c>
      <c r="J14" s="46">
        <f>8235.6</f>
        <v>8235.6</v>
      </c>
      <c r="K14" s="46"/>
      <c r="L14" s="46"/>
      <c r="M14" s="46"/>
      <c r="N14" s="47">
        <f>23764.4</f>
        <v>23764.4</v>
      </c>
      <c r="O14" s="47"/>
    </row>
    <row r="15" spans="1:15" s="1" customFormat="1" ht="45" customHeight="1">
      <c r="A15" s="45" t="s">
        <v>42</v>
      </c>
      <c r="B15" s="45"/>
      <c r="C15" s="45"/>
      <c r="D15" s="45"/>
      <c r="E15" s="45"/>
      <c r="F15" s="45"/>
      <c r="G15" s="14" t="s">
        <v>36</v>
      </c>
      <c r="H15" s="14" t="s">
        <v>43</v>
      </c>
      <c r="I15" s="15">
        <f>3953000</f>
        <v>3953000</v>
      </c>
      <c r="J15" s="46">
        <f>534515.45</f>
        <v>534515.45</v>
      </c>
      <c r="K15" s="46"/>
      <c r="L15" s="46"/>
      <c r="M15" s="46"/>
      <c r="N15" s="47">
        <f>3418484.55</f>
        <v>3418484.55</v>
      </c>
      <c r="O15" s="47"/>
    </row>
    <row r="16" spans="1:15" s="1" customFormat="1" ht="66" customHeight="1">
      <c r="A16" s="45" t="s">
        <v>44</v>
      </c>
      <c r="B16" s="45"/>
      <c r="C16" s="45"/>
      <c r="D16" s="45"/>
      <c r="E16" s="45"/>
      <c r="F16" s="45"/>
      <c r="G16" s="14" t="s">
        <v>36</v>
      </c>
      <c r="H16" s="14" t="s">
        <v>45</v>
      </c>
      <c r="I16" s="16" t="s">
        <v>46</v>
      </c>
      <c r="J16" s="46">
        <f>100</f>
        <v>100</v>
      </c>
      <c r="K16" s="46"/>
      <c r="L16" s="46"/>
      <c r="M16" s="46"/>
      <c r="N16" s="47">
        <f>0</f>
        <v>0</v>
      </c>
      <c r="O16" s="47"/>
    </row>
    <row r="17" spans="1:15" s="1" customFormat="1" ht="24" customHeight="1">
      <c r="A17" s="45" t="s">
        <v>47</v>
      </c>
      <c r="B17" s="45"/>
      <c r="C17" s="45"/>
      <c r="D17" s="45"/>
      <c r="E17" s="45"/>
      <c r="F17" s="45"/>
      <c r="G17" s="14" t="s">
        <v>36</v>
      </c>
      <c r="H17" s="14" t="s">
        <v>48</v>
      </c>
      <c r="I17" s="16" t="s">
        <v>46</v>
      </c>
      <c r="J17" s="46">
        <f>-49.41</f>
        <v>-49.41</v>
      </c>
      <c r="K17" s="46"/>
      <c r="L17" s="46"/>
      <c r="M17" s="46"/>
      <c r="N17" s="47">
        <f>0</f>
        <v>0</v>
      </c>
      <c r="O17" s="47"/>
    </row>
    <row r="18" spans="1:15" s="1" customFormat="1" ht="13.5" customHeight="1">
      <c r="A18" s="45" t="s">
        <v>49</v>
      </c>
      <c r="B18" s="45"/>
      <c r="C18" s="45"/>
      <c r="D18" s="45"/>
      <c r="E18" s="45"/>
      <c r="F18" s="45"/>
      <c r="G18" s="14" t="s">
        <v>36</v>
      </c>
      <c r="H18" s="14" t="s">
        <v>50</v>
      </c>
      <c r="I18" s="15">
        <f>980000</f>
        <v>980000</v>
      </c>
      <c r="J18" s="46">
        <f>224588.59</f>
        <v>224588.59</v>
      </c>
      <c r="K18" s="46"/>
      <c r="L18" s="46"/>
      <c r="M18" s="46"/>
      <c r="N18" s="47">
        <f>755411.41</f>
        <v>755411.41</v>
      </c>
      <c r="O18" s="47"/>
    </row>
    <row r="19" spans="1:15" s="1" customFormat="1" ht="24" customHeight="1">
      <c r="A19" s="45" t="s">
        <v>51</v>
      </c>
      <c r="B19" s="45"/>
      <c r="C19" s="45"/>
      <c r="D19" s="45"/>
      <c r="E19" s="45"/>
      <c r="F19" s="45"/>
      <c r="G19" s="14" t="s">
        <v>36</v>
      </c>
      <c r="H19" s="14" t="s">
        <v>52</v>
      </c>
      <c r="I19" s="16" t="s">
        <v>46</v>
      </c>
      <c r="J19" s="46">
        <f>9.19</f>
        <v>9.19</v>
      </c>
      <c r="K19" s="46"/>
      <c r="L19" s="46"/>
      <c r="M19" s="46"/>
      <c r="N19" s="47">
        <f>0</f>
        <v>0</v>
      </c>
      <c r="O19" s="47"/>
    </row>
    <row r="20" spans="1:15" s="1" customFormat="1" ht="13.5" customHeight="1">
      <c r="A20" s="45" t="s">
        <v>53</v>
      </c>
      <c r="B20" s="45"/>
      <c r="C20" s="45"/>
      <c r="D20" s="45"/>
      <c r="E20" s="45"/>
      <c r="F20" s="45"/>
      <c r="G20" s="14" t="s">
        <v>36</v>
      </c>
      <c r="H20" s="14" t="s">
        <v>54</v>
      </c>
      <c r="I20" s="15">
        <f>60000</f>
        <v>60000</v>
      </c>
      <c r="J20" s="48" t="s">
        <v>46</v>
      </c>
      <c r="K20" s="48"/>
      <c r="L20" s="48"/>
      <c r="M20" s="48"/>
      <c r="N20" s="47">
        <f>60000</f>
        <v>60000</v>
      </c>
      <c r="O20" s="47"/>
    </row>
    <row r="21" spans="1:15" s="1" customFormat="1" ht="24" customHeight="1">
      <c r="A21" s="45" t="s">
        <v>55</v>
      </c>
      <c r="B21" s="45"/>
      <c r="C21" s="45"/>
      <c r="D21" s="45"/>
      <c r="E21" s="45"/>
      <c r="F21" s="45"/>
      <c r="G21" s="14" t="s">
        <v>36</v>
      </c>
      <c r="H21" s="14" t="s">
        <v>56</v>
      </c>
      <c r="I21" s="15">
        <f>329000</f>
        <v>329000</v>
      </c>
      <c r="J21" s="46">
        <f>24012.71</f>
        <v>24012.71</v>
      </c>
      <c r="K21" s="46"/>
      <c r="L21" s="46"/>
      <c r="M21" s="46"/>
      <c r="N21" s="47">
        <f>304987.29</f>
        <v>304987.29</v>
      </c>
      <c r="O21" s="47"/>
    </row>
    <row r="22" spans="1:15" s="1" customFormat="1" ht="24" customHeight="1">
      <c r="A22" s="45" t="s">
        <v>57</v>
      </c>
      <c r="B22" s="45"/>
      <c r="C22" s="45"/>
      <c r="D22" s="45"/>
      <c r="E22" s="45"/>
      <c r="F22" s="45"/>
      <c r="G22" s="14" t="s">
        <v>36</v>
      </c>
      <c r="H22" s="14" t="s">
        <v>58</v>
      </c>
      <c r="I22" s="15">
        <f>412000</f>
        <v>412000</v>
      </c>
      <c r="J22" s="46">
        <f>233540.15</f>
        <v>233540.15</v>
      </c>
      <c r="K22" s="46"/>
      <c r="L22" s="46"/>
      <c r="M22" s="46"/>
      <c r="N22" s="47">
        <f>178459.85</f>
        <v>178459.85</v>
      </c>
      <c r="O22" s="47"/>
    </row>
    <row r="23" spans="1:15" s="1" customFormat="1" ht="24" customHeight="1">
      <c r="A23" s="45" t="s">
        <v>59</v>
      </c>
      <c r="B23" s="45"/>
      <c r="C23" s="45"/>
      <c r="D23" s="45"/>
      <c r="E23" s="45"/>
      <c r="F23" s="45"/>
      <c r="G23" s="14" t="s">
        <v>36</v>
      </c>
      <c r="H23" s="14" t="s">
        <v>60</v>
      </c>
      <c r="I23" s="15">
        <f>150000</f>
        <v>150000</v>
      </c>
      <c r="J23" s="46">
        <f>5292.94</f>
        <v>5292.94</v>
      </c>
      <c r="K23" s="46"/>
      <c r="L23" s="46"/>
      <c r="M23" s="46"/>
      <c r="N23" s="47">
        <f>144707.06</f>
        <v>144707.06</v>
      </c>
      <c r="O23" s="47"/>
    </row>
    <row r="24" spans="1:15" s="1" customFormat="1" ht="45" customHeight="1">
      <c r="A24" s="45" t="s">
        <v>61</v>
      </c>
      <c r="B24" s="45"/>
      <c r="C24" s="45"/>
      <c r="D24" s="45"/>
      <c r="E24" s="45"/>
      <c r="F24" s="45"/>
      <c r="G24" s="14" t="s">
        <v>36</v>
      </c>
      <c r="H24" s="14" t="s">
        <v>62</v>
      </c>
      <c r="I24" s="15">
        <f>110000</f>
        <v>110000</v>
      </c>
      <c r="J24" s="46">
        <f>66170</f>
        <v>66170</v>
      </c>
      <c r="K24" s="46"/>
      <c r="L24" s="46"/>
      <c r="M24" s="46"/>
      <c r="N24" s="47">
        <f>43830</f>
        <v>43830</v>
      </c>
      <c r="O24" s="47"/>
    </row>
    <row r="25" spans="1:15" s="1" customFormat="1" ht="33.75" customHeight="1">
      <c r="A25" s="45" t="s">
        <v>63</v>
      </c>
      <c r="B25" s="45"/>
      <c r="C25" s="45"/>
      <c r="D25" s="45"/>
      <c r="E25" s="45"/>
      <c r="F25" s="45"/>
      <c r="G25" s="14" t="s">
        <v>36</v>
      </c>
      <c r="H25" s="14" t="s">
        <v>64</v>
      </c>
      <c r="I25" s="15">
        <f>102000</f>
        <v>102000</v>
      </c>
      <c r="J25" s="46">
        <f>40250</f>
        <v>40250</v>
      </c>
      <c r="K25" s="46"/>
      <c r="L25" s="46"/>
      <c r="M25" s="46"/>
      <c r="N25" s="47">
        <f>61750</f>
        <v>61750</v>
      </c>
      <c r="O25" s="47"/>
    </row>
    <row r="26" spans="1:15" s="1" customFormat="1" ht="24" customHeight="1">
      <c r="A26" s="45" t="s">
        <v>65</v>
      </c>
      <c r="B26" s="45"/>
      <c r="C26" s="45"/>
      <c r="D26" s="45"/>
      <c r="E26" s="45"/>
      <c r="F26" s="45"/>
      <c r="G26" s="14" t="s">
        <v>36</v>
      </c>
      <c r="H26" s="14" t="s">
        <v>66</v>
      </c>
      <c r="I26" s="15">
        <f>1330500</f>
        <v>1330500</v>
      </c>
      <c r="J26" s="46">
        <f>135867.6</f>
        <v>135867.6</v>
      </c>
      <c r="K26" s="46"/>
      <c r="L26" s="46"/>
      <c r="M26" s="46"/>
      <c r="N26" s="47">
        <f>1194632.4</f>
        <v>1194632.4</v>
      </c>
      <c r="O26" s="47"/>
    </row>
    <row r="27" spans="1:15" s="1" customFormat="1" ht="45" customHeight="1">
      <c r="A27" s="45" t="s">
        <v>67</v>
      </c>
      <c r="B27" s="45"/>
      <c r="C27" s="45"/>
      <c r="D27" s="45"/>
      <c r="E27" s="45"/>
      <c r="F27" s="45"/>
      <c r="G27" s="14" t="s">
        <v>36</v>
      </c>
      <c r="H27" s="14" t="s">
        <v>68</v>
      </c>
      <c r="I27" s="15">
        <f>715000</f>
        <v>715000</v>
      </c>
      <c r="J27" s="46">
        <f>144391.97</f>
        <v>144391.97</v>
      </c>
      <c r="K27" s="46"/>
      <c r="L27" s="46"/>
      <c r="M27" s="46"/>
      <c r="N27" s="47">
        <f>570608.03</f>
        <v>570608.03</v>
      </c>
      <c r="O27" s="47"/>
    </row>
    <row r="28" spans="1:15" s="1" customFormat="1" ht="24" customHeight="1">
      <c r="A28" s="45" t="s">
        <v>69</v>
      </c>
      <c r="B28" s="45"/>
      <c r="C28" s="45"/>
      <c r="D28" s="45"/>
      <c r="E28" s="45"/>
      <c r="F28" s="45"/>
      <c r="G28" s="14" t="s">
        <v>36</v>
      </c>
      <c r="H28" s="14" t="s">
        <v>70</v>
      </c>
      <c r="I28" s="15">
        <f>410000</f>
        <v>410000</v>
      </c>
      <c r="J28" s="46">
        <f>40900</f>
        <v>40900</v>
      </c>
      <c r="K28" s="46"/>
      <c r="L28" s="46"/>
      <c r="M28" s="46"/>
      <c r="N28" s="47">
        <f>369100</f>
        <v>369100</v>
      </c>
      <c r="O28" s="47"/>
    </row>
    <row r="29" spans="1:15" s="1" customFormat="1" ht="13.5" customHeight="1">
      <c r="A29" s="45" t="s">
        <v>71</v>
      </c>
      <c r="B29" s="45"/>
      <c r="C29" s="45"/>
      <c r="D29" s="45"/>
      <c r="E29" s="45"/>
      <c r="F29" s="45"/>
      <c r="G29" s="14" t="s">
        <v>36</v>
      </c>
      <c r="H29" s="14" t="s">
        <v>72</v>
      </c>
      <c r="I29" s="16" t="s">
        <v>46</v>
      </c>
      <c r="J29" s="46">
        <f>4894.02</f>
        <v>4894.02</v>
      </c>
      <c r="K29" s="46"/>
      <c r="L29" s="46"/>
      <c r="M29" s="46"/>
      <c r="N29" s="47">
        <f>0</f>
        <v>0</v>
      </c>
      <c r="O29" s="47"/>
    </row>
    <row r="30" spans="1:15" s="1" customFormat="1" ht="13.5" customHeight="1">
      <c r="A30" s="45" t="s">
        <v>73</v>
      </c>
      <c r="B30" s="45"/>
      <c r="C30" s="45"/>
      <c r="D30" s="45"/>
      <c r="E30" s="45"/>
      <c r="F30" s="45"/>
      <c r="G30" s="14" t="s">
        <v>36</v>
      </c>
      <c r="H30" s="14" t="s">
        <v>74</v>
      </c>
      <c r="I30" s="16" t="s">
        <v>46</v>
      </c>
      <c r="J30" s="46">
        <f>-32197.98</f>
        <v>-32197.98</v>
      </c>
      <c r="K30" s="46"/>
      <c r="L30" s="46"/>
      <c r="M30" s="46"/>
      <c r="N30" s="47">
        <f>0</f>
        <v>0</v>
      </c>
      <c r="O30" s="47"/>
    </row>
    <row r="31" spans="1:15" s="1" customFormat="1" ht="24" customHeight="1">
      <c r="A31" s="45" t="s">
        <v>75</v>
      </c>
      <c r="B31" s="45"/>
      <c r="C31" s="45"/>
      <c r="D31" s="45"/>
      <c r="E31" s="45"/>
      <c r="F31" s="45"/>
      <c r="G31" s="14" t="s">
        <v>36</v>
      </c>
      <c r="H31" s="14" t="s">
        <v>76</v>
      </c>
      <c r="I31" s="15">
        <f>30601200</f>
        <v>30601200</v>
      </c>
      <c r="J31" s="46">
        <f>4576360</f>
        <v>4576360</v>
      </c>
      <c r="K31" s="46"/>
      <c r="L31" s="46"/>
      <c r="M31" s="46"/>
      <c r="N31" s="47">
        <f>26024840</f>
        <v>26024840</v>
      </c>
      <c r="O31" s="47"/>
    </row>
    <row r="32" spans="1:15" s="1" customFormat="1" ht="13.5" customHeight="1">
      <c r="A32" s="45" t="s">
        <v>77</v>
      </c>
      <c r="B32" s="45"/>
      <c r="C32" s="45"/>
      <c r="D32" s="45"/>
      <c r="E32" s="45"/>
      <c r="F32" s="45"/>
      <c r="G32" s="14" t="s">
        <v>36</v>
      </c>
      <c r="H32" s="14" t="s">
        <v>78</v>
      </c>
      <c r="I32" s="15">
        <f>110000</f>
        <v>110000</v>
      </c>
      <c r="J32" s="46">
        <f>110000</f>
        <v>110000</v>
      </c>
      <c r="K32" s="46"/>
      <c r="L32" s="46"/>
      <c r="M32" s="46"/>
      <c r="N32" s="47">
        <f>0</f>
        <v>0</v>
      </c>
      <c r="O32" s="47"/>
    </row>
    <row r="33" spans="1:15" s="1" customFormat="1" ht="24" customHeight="1">
      <c r="A33" s="45" t="s">
        <v>79</v>
      </c>
      <c r="B33" s="45"/>
      <c r="C33" s="45"/>
      <c r="D33" s="45"/>
      <c r="E33" s="45"/>
      <c r="F33" s="45"/>
      <c r="G33" s="14" t="s">
        <v>36</v>
      </c>
      <c r="H33" s="14" t="s">
        <v>80</v>
      </c>
      <c r="I33" s="15">
        <f>94300</f>
        <v>94300</v>
      </c>
      <c r="J33" s="46">
        <f>8550</f>
        <v>8550</v>
      </c>
      <c r="K33" s="46"/>
      <c r="L33" s="46"/>
      <c r="M33" s="46"/>
      <c r="N33" s="47">
        <f>85750</f>
        <v>85750</v>
      </c>
      <c r="O33" s="47"/>
    </row>
    <row r="34" spans="1:15" s="1" customFormat="1" ht="24" customHeight="1">
      <c r="A34" s="45" t="s">
        <v>81</v>
      </c>
      <c r="B34" s="45"/>
      <c r="C34" s="45"/>
      <c r="D34" s="45"/>
      <c r="E34" s="45"/>
      <c r="F34" s="45"/>
      <c r="G34" s="14" t="s">
        <v>36</v>
      </c>
      <c r="H34" s="14" t="s">
        <v>82</v>
      </c>
      <c r="I34" s="15">
        <f>788000</f>
        <v>788000</v>
      </c>
      <c r="J34" s="46">
        <f>669800</f>
        <v>669800</v>
      </c>
      <c r="K34" s="46"/>
      <c r="L34" s="46"/>
      <c r="M34" s="46"/>
      <c r="N34" s="47">
        <f>118200</f>
        <v>118200</v>
      </c>
      <c r="O34" s="47"/>
    </row>
    <row r="35" spans="1:15" s="1" customFormat="1" ht="24" customHeight="1">
      <c r="A35" s="45" t="s">
        <v>83</v>
      </c>
      <c r="B35" s="45"/>
      <c r="C35" s="45"/>
      <c r="D35" s="45"/>
      <c r="E35" s="45"/>
      <c r="F35" s="45"/>
      <c r="G35" s="14" t="s">
        <v>36</v>
      </c>
      <c r="H35" s="14" t="s">
        <v>84</v>
      </c>
      <c r="I35" s="15">
        <f>28774423</f>
        <v>28774423</v>
      </c>
      <c r="J35" s="46">
        <f>531355</f>
        <v>531355</v>
      </c>
      <c r="K35" s="46"/>
      <c r="L35" s="46"/>
      <c r="M35" s="46"/>
      <c r="N35" s="47">
        <f>28243068</f>
        <v>28243068</v>
      </c>
      <c r="O35" s="47"/>
    </row>
    <row r="36" spans="1:15" s="1" customFormat="1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s="1" customFormat="1" ht="13.5" customHeight="1">
      <c r="A37" s="35" t="s">
        <v>85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1" customFormat="1" ht="34.5" customHeight="1">
      <c r="A38" s="36" t="s">
        <v>23</v>
      </c>
      <c r="B38" s="36"/>
      <c r="C38" s="36"/>
      <c r="D38" s="36"/>
      <c r="E38" s="36"/>
      <c r="F38" s="36"/>
      <c r="G38" s="8" t="s">
        <v>24</v>
      </c>
      <c r="H38" s="8" t="s">
        <v>86</v>
      </c>
      <c r="I38" s="9" t="s">
        <v>26</v>
      </c>
      <c r="J38" s="37" t="s">
        <v>27</v>
      </c>
      <c r="K38" s="37"/>
      <c r="L38" s="37"/>
      <c r="M38" s="37"/>
      <c r="N38" s="38" t="s">
        <v>28</v>
      </c>
      <c r="O38" s="38"/>
    </row>
    <row r="39" spans="1:15" s="1" customFormat="1" ht="13.5" customHeight="1">
      <c r="A39" s="39" t="s">
        <v>29</v>
      </c>
      <c r="B39" s="39"/>
      <c r="C39" s="39"/>
      <c r="D39" s="39"/>
      <c r="E39" s="39"/>
      <c r="F39" s="39"/>
      <c r="G39" s="10" t="s">
        <v>30</v>
      </c>
      <c r="H39" s="10" t="s">
        <v>31</v>
      </c>
      <c r="I39" s="11" t="s">
        <v>32</v>
      </c>
      <c r="J39" s="40" t="s">
        <v>33</v>
      </c>
      <c r="K39" s="40"/>
      <c r="L39" s="40"/>
      <c r="M39" s="40"/>
      <c r="N39" s="41" t="s">
        <v>34</v>
      </c>
      <c r="O39" s="41"/>
    </row>
    <row r="40" spans="1:15" s="1" customFormat="1" ht="13.5" customHeight="1">
      <c r="A40" s="42" t="s">
        <v>87</v>
      </c>
      <c r="B40" s="42"/>
      <c r="C40" s="42"/>
      <c r="D40" s="42"/>
      <c r="E40" s="42"/>
      <c r="F40" s="42"/>
      <c r="G40" s="12" t="s">
        <v>88</v>
      </c>
      <c r="H40" s="12" t="s">
        <v>37</v>
      </c>
      <c r="I40" s="13">
        <f>73149345.82</f>
        <v>73149345.82</v>
      </c>
      <c r="J40" s="43">
        <f>5100617.49</f>
        <v>5100617.49</v>
      </c>
      <c r="K40" s="43"/>
      <c r="L40" s="43"/>
      <c r="M40" s="43"/>
      <c r="N40" s="44">
        <f>68048728.33</f>
        <v>68048728.33</v>
      </c>
      <c r="O40" s="44"/>
    </row>
    <row r="41" spans="1:15" s="1" customFormat="1" ht="13.5" customHeight="1">
      <c r="A41" s="29" t="s">
        <v>89</v>
      </c>
      <c r="B41" s="29"/>
      <c r="C41" s="29"/>
      <c r="D41" s="29"/>
      <c r="E41" s="29"/>
      <c r="F41" s="29"/>
      <c r="G41" s="17" t="s">
        <v>88</v>
      </c>
      <c r="H41" s="17" t="s">
        <v>90</v>
      </c>
      <c r="I41" s="18">
        <f>1419400</f>
        <v>1419400</v>
      </c>
      <c r="J41" s="30">
        <f>297123.42</f>
        <v>297123.42</v>
      </c>
      <c r="K41" s="30"/>
      <c r="L41" s="30"/>
      <c r="M41" s="30"/>
      <c r="N41" s="49">
        <f>1122276.58</f>
        <v>1122276.58</v>
      </c>
      <c r="O41" s="49"/>
    </row>
    <row r="42" spans="1:15" s="1" customFormat="1" ht="33.75" customHeight="1">
      <c r="A42" s="29" t="s">
        <v>91</v>
      </c>
      <c r="B42" s="29"/>
      <c r="C42" s="29"/>
      <c r="D42" s="29"/>
      <c r="E42" s="29"/>
      <c r="F42" s="29"/>
      <c r="G42" s="17" t="s">
        <v>88</v>
      </c>
      <c r="H42" s="17" t="s">
        <v>92</v>
      </c>
      <c r="I42" s="18">
        <f>428700</f>
        <v>428700</v>
      </c>
      <c r="J42" s="30">
        <f>16086.02</f>
        <v>16086.02</v>
      </c>
      <c r="K42" s="30"/>
      <c r="L42" s="30"/>
      <c r="M42" s="30"/>
      <c r="N42" s="49">
        <f>412613.98</f>
        <v>412613.98</v>
      </c>
      <c r="O42" s="49"/>
    </row>
    <row r="43" spans="1:15" s="1" customFormat="1" ht="13.5" customHeight="1">
      <c r="A43" s="29" t="s">
        <v>89</v>
      </c>
      <c r="B43" s="29"/>
      <c r="C43" s="29"/>
      <c r="D43" s="29"/>
      <c r="E43" s="29"/>
      <c r="F43" s="29"/>
      <c r="G43" s="17" t="s">
        <v>88</v>
      </c>
      <c r="H43" s="17" t="s">
        <v>93</v>
      </c>
      <c r="I43" s="18">
        <f>8451000</f>
        <v>8451000</v>
      </c>
      <c r="J43" s="30">
        <f>1697316.65</f>
        <v>1697316.65</v>
      </c>
      <c r="K43" s="30"/>
      <c r="L43" s="30"/>
      <c r="M43" s="30"/>
      <c r="N43" s="49">
        <f>6753683.35</f>
        <v>6753683.35</v>
      </c>
      <c r="O43" s="49"/>
    </row>
    <row r="44" spans="1:15" s="1" customFormat="1" ht="24" customHeight="1">
      <c r="A44" s="29" t="s">
        <v>94</v>
      </c>
      <c r="B44" s="29"/>
      <c r="C44" s="29"/>
      <c r="D44" s="29"/>
      <c r="E44" s="29"/>
      <c r="F44" s="29"/>
      <c r="G44" s="17" t="s">
        <v>88</v>
      </c>
      <c r="H44" s="17" t="s">
        <v>95</v>
      </c>
      <c r="I44" s="18">
        <f>304000</f>
        <v>304000</v>
      </c>
      <c r="J44" s="30">
        <f>15200</f>
        <v>15200</v>
      </c>
      <c r="K44" s="30"/>
      <c r="L44" s="30"/>
      <c r="M44" s="30"/>
      <c r="N44" s="49">
        <f>288800</f>
        <v>288800</v>
      </c>
      <c r="O44" s="49"/>
    </row>
    <row r="45" spans="1:15" s="1" customFormat="1" ht="33.75" customHeight="1">
      <c r="A45" s="29" t="s">
        <v>91</v>
      </c>
      <c r="B45" s="29"/>
      <c r="C45" s="29"/>
      <c r="D45" s="29"/>
      <c r="E45" s="29"/>
      <c r="F45" s="29"/>
      <c r="G45" s="17" t="s">
        <v>88</v>
      </c>
      <c r="H45" s="17" t="s">
        <v>96</v>
      </c>
      <c r="I45" s="18">
        <f>2491800</f>
        <v>2491800</v>
      </c>
      <c r="J45" s="30">
        <f>126325.51</f>
        <v>126325.51</v>
      </c>
      <c r="K45" s="30"/>
      <c r="L45" s="30"/>
      <c r="M45" s="30"/>
      <c r="N45" s="49">
        <f>2365474.49</f>
        <v>2365474.49</v>
      </c>
      <c r="O45" s="49"/>
    </row>
    <row r="46" spans="1:15" s="1" customFormat="1" ht="13.5" customHeight="1">
      <c r="A46" s="29" t="s">
        <v>97</v>
      </c>
      <c r="B46" s="29"/>
      <c r="C46" s="29"/>
      <c r="D46" s="29"/>
      <c r="E46" s="29"/>
      <c r="F46" s="29"/>
      <c r="G46" s="17" t="s">
        <v>88</v>
      </c>
      <c r="H46" s="17" t="s">
        <v>98</v>
      </c>
      <c r="I46" s="18">
        <f>112655</f>
        <v>112655</v>
      </c>
      <c r="J46" s="50" t="s">
        <v>46</v>
      </c>
      <c r="K46" s="50"/>
      <c r="L46" s="50"/>
      <c r="M46" s="50"/>
      <c r="N46" s="49">
        <f>112655</f>
        <v>112655</v>
      </c>
      <c r="O46" s="49"/>
    </row>
    <row r="47" spans="1:15" s="1" customFormat="1" ht="13.5" customHeight="1">
      <c r="A47" s="29" t="s">
        <v>99</v>
      </c>
      <c r="B47" s="29"/>
      <c r="C47" s="29"/>
      <c r="D47" s="29"/>
      <c r="E47" s="29"/>
      <c r="F47" s="29"/>
      <c r="G47" s="17" t="s">
        <v>88</v>
      </c>
      <c r="H47" s="17" t="s">
        <v>100</v>
      </c>
      <c r="I47" s="18">
        <f>200000</f>
        <v>200000</v>
      </c>
      <c r="J47" s="50" t="s">
        <v>46</v>
      </c>
      <c r="K47" s="50"/>
      <c r="L47" s="50"/>
      <c r="M47" s="50"/>
      <c r="N47" s="49">
        <f>200000</f>
        <v>200000</v>
      </c>
      <c r="O47" s="49"/>
    </row>
    <row r="48" spans="1:15" s="1" customFormat="1" ht="24" customHeight="1">
      <c r="A48" s="29" t="s">
        <v>101</v>
      </c>
      <c r="B48" s="29"/>
      <c r="C48" s="29"/>
      <c r="D48" s="29"/>
      <c r="E48" s="29"/>
      <c r="F48" s="29"/>
      <c r="G48" s="17" t="s">
        <v>88</v>
      </c>
      <c r="H48" s="17" t="s">
        <v>102</v>
      </c>
      <c r="I48" s="18">
        <f>50000</f>
        <v>50000</v>
      </c>
      <c r="J48" s="30">
        <f>13000</f>
        <v>13000</v>
      </c>
      <c r="K48" s="30"/>
      <c r="L48" s="30"/>
      <c r="M48" s="30"/>
      <c r="N48" s="49">
        <f>37000</f>
        <v>37000</v>
      </c>
      <c r="O48" s="49"/>
    </row>
    <row r="49" spans="1:15" s="1" customFormat="1" ht="24" customHeight="1">
      <c r="A49" s="29" t="s">
        <v>101</v>
      </c>
      <c r="B49" s="29"/>
      <c r="C49" s="29"/>
      <c r="D49" s="29"/>
      <c r="E49" s="29"/>
      <c r="F49" s="29"/>
      <c r="G49" s="17" t="s">
        <v>88</v>
      </c>
      <c r="H49" s="17" t="s">
        <v>103</v>
      </c>
      <c r="I49" s="18">
        <f>63509</f>
        <v>63509</v>
      </c>
      <c r="J49" s="50" t="s">
        <v>46</v>
      </c>
      <c r="K49" s="50"/>
      <c r="L49" s="50"/>
      <c r="M49" s="50"/>
      <c r="N49" s="49">
        <f>63509</f>
        <v>63509</v>
      </c>
      <c r="O49" s="49"/>
    </row>
    <row r="50" spans="1:15" s="1" customFormat="1" ht="24" customHeight="1">
      <c r="A50" s="29" t="s">
        <v>101</v>
      </c>
      <c r="B50" s="29"/>
      <c r="C50" s="29"/>
      <c r="D50" s="29"/>
      <c r="E50" s="29"/>
      <c r="F50" s="29"/>
      <c r="G50" s="17" t="s">
        <v>88</v>
      </c>
      <c r="H50" s="17" t="s">
        <v>104</v>
      </c>
      <c r="I50" s="18">
        <f>1973623.44</f>
        <v>1973623.44</v>
      </c>
      <c r="J50" s="30">
        <f>341858.64</f>
        <v>341858.64</v>
      </c>
      <c r="K50" s="30"/>
      <c r="L50" s="30"/>
      <c r="M50" s="30"/>
      <c r="N50" s="49">
        <f>1631764.8</f>
        <v>1631764.8</v>
      </c>
      <c r="O50" s="49"/>
    </row>
    <row r="51" spans="1:15" s="1" customFormat="1" ht="13.5" customHeight="1">
      <c r="A51" s="29" t="s">
        <v>105</v>
      </c>
      <c r="B51" s="29"/>
      <c r="C51" s="29"/>
      <c r="D51" s="29"/>
      <c r="E51" s="29"/>
      <c r="F51" s="29"/>
      <c r="G51" s="17" t="s">
        <v>88</v>
      </c>
      <c r="H51" s="17" t="s">
        <v>106</v>
      </c>
      <c r="I51" s="18">
        <f>5000</f>
        <v>5000</v>
      </c>
      <c r="J51" s="50" t="s">
        <v>46</v>
      </c>
      <c r="K51" s="50"/>
      <c r="L51" s="50"/>
      <c r="M51" s="50"/>
      <c r="N51" s="49">
        <f>5000</f>
        <v>5000</v>
      </c>
      <c r="O51" s="49"/>
    </row>
    <row r="52" spans="1:15" s="1" customFormat="1" ht="13.5" customHeight="1">
      <c r="A52" s="29" t="s">
        <v>107</v>
      </c>
      <c r="B52" s="29"/>
      <c r="C52" s="29"/>
      <c r="D52" s="29"/>
      <c r="E52" s="29"/>
      <c r="F52" s="29"/>
      <c r="G52" s="17" t="s">
        <v>88</v>
      </c>
      <c r="H52" s="17" t="s">
        <v>108</v>
      </c>
      <c r="I52" s="18">
        <f>85000</f>
        <v>85000</v>
      </c>
      <c r="J52" s="30">
        <f>22767.88</f>
        <v>22767.88</v>
      </c>
      <c r="K52" s="30"/>
      <c r="L52" s="30"/>
      <c r="M52" s="30"/>
      <c r="N52" s="49">
        <f>62232.12</f>
        <v>62232.12</v>
      </c>
      <c r="O52" s="49"/>
    </row>
    <row r="53" spans="1:15" s="1" customFormat="1" ht="24" customHeight="1">
      <c r="A53" s="29" t="s">
        <v>94</v>
      </c>
      <c r="B53" s="29"/>
      <c r="C53" s="29"/>
      <c r="D53" s="29"/>
      <c r="E53" s="29"/>
      <c r="F53" s="29"/>
      <c r="G53" s="17" t="s">
        <v>88</v>
      </c>
      <c r="H53" s="17" t="s">
        <v>109</v>
      </c>
      <c r="I53" s="18">
        <f>250000</f>
        <v>250000</v>
      </c>
      <c r="J53" s="50" t="s">
        <v>46</v>
      </c>
      <c r="K53" s="50"/>
      <c r="L53" s="50"/>
      <c r="M53" s="50"/>
      <c r="N53" s="49">
        <f>250000</f>
        <v>250000</v>
      </c>
      <c r="O53" s="49"/>
    </row>
    <row r="54" spans="1:15" s="1" customFormat="1" ht="13.5" customHeight="1">
      <c r="A54" s="29" t="s">
        <v>107</v>
      </c>
      <c r="B54" s="29"/>
      <c r="C54" s="29"/>
      <c r="D54" s="29"/>
      <c r="E54" s="29"/>
      <c r="F54" s="29"/>
      <c r="G54" s="17" t="s">
        <v>88</v>
      </c>
      <c r="H54" s="17" t="s">
        <v>110</v>
      </c>
      <c r="I54" s="18">
        <f>25000</f>
        <v>25000</v>
      </c>
      <c r="J54" s="50" t="s">
        <v>46</v>
      </c>
      <c r="K54" s="50"/>
      <c r="L54" s="50"/>
      <c r="M54" s="50"/>
      <c r="N54" s="49">
        <f>25000</f>
        <v>25000</v>
      </c>
      <c r="O54" s="49"/>
    </row>
    <row r="55" spans="1:15" s="1" customFormat="1" ht="13.5" customHeight="1">
      <c r="A55" s="29" t="s">
        <v>111</v>
      </c>
      <c r="B55" s="29"/>
      <c r="C55" s="29"/>
      <c r="D55" s="29"/>
      <c r="E55" s="29"/>
      <c r="F55" s="29"/>
      <c r="G55" s="17" t="s">
        <v>88</v>
      </c>
      <c r="H55" s="17" t="s">
        <v>112</v>
      </c>
      <c r="I55" s="18">
        <f>4226000</f>
        <v>4226000</v>
      </c>
      <c r="J55" s="30">
        <f>687205.63</f>
        <v>687205.63</v>
      </c>
      <c r="K55" s="30"/>
      <c r="L55" s="30"/>
      <c r="M55" s="30"/>
      <c r="N55" s="49">
        <f>3538794.37</f>
        <v>3538794.37</v>
      </c>
      <c r="O55" s="49"/>
    </row>
    <row r="56" spans="1:15" s="1" customFormat="1" ht="24" customHeight="1">
      <c r="A56" s="29" t="s">
        <v>113</v>
      </c>
      <c r="B56" s="29"/>
      <c r="C56" s="29"/>
      <c r="D56" s="29"/>
      <c r="E56" s="29"/>
      <c r="F56" s="29"/>
      <c r="G56" s="17" t="s">
        <v>88</v>
      </c>
      <c r="H56" s="17" t="s">
        <v>114</v>
      </c>
      <c r="I56" s="18">
        <f>115900</f>
        <v>115900</v>
      </c>
      <c r="J56" s="30">
        <f>3720</f>
        <v>3720</v>
      </c>
      <c r="K56" s="30"/>
      <c r="L56" s="30"/>
      <c r="M56" s="30"/>
      <c r="N56" s="49">
        <f>112180</f>
        <v>112180</v>
      </c>
      <c r="O56" s="49"/>
    </row>
    <row r="57" spans="1:15" s="1" customFormat="1" ht="24" customHeight="1">
      <c r="A57" s="29" t="s">
        <v>115</v>
      </c>
      <c r="B57" s="29"/>
      <c r="C57" s="29"/>
      <c r="D57" s="29"/>
      <c r="E57" s="29"/>
      <c r="F57" s="29"/>
      <c r="G57" s="17" t="s">
        <v>88</v>
      </c>
      <c r="H57" s="17" t="s">
        <v>116</v>
      </c>
      <c r="I57" s="18">
        <f>1288900</f>
        <v>1288900</v>
      </c>
      <c r="J57" s="30">
        <f>95682.25</f>
        <v>95682.25</v>
      </c>
      <c r="K57" s="30"/>
      <c r="L57" s="30"/>
      <c r="M57" s="30"/>
      <c r="N57" s="49">
        <f>1193217.75</f>
        <v>1193217.75</v>
      </c>
      <c r="O57" s="49"/>
    </row>
    <row r="58" spans="1:15" s="1" customFormat="1" ht="24" customHeight="1">
      <c r="A58" s="29" t="s">
        <v>117</v>
      </c>
      <c r="B58" s="29"/>
      <c r="C58" s="29"/>
      <c r="D58" s="29"/>
      <c r="E58" s="29"/>
      <c r="F58" s="29"/>
      <c r="G58" s="17" t="s">
        <v>88</v>
      </c>
      <c r="H58" s="17" t="s">
        <v>118</v>
      </c>
      <c r="I58" s="18">
        <f>14000</f>
        <v>14000</v>
      </c>
      <c r="J58" s="30">
        <f>1654.48</f>
        <v>1654.48</v>
      </c>
      <c r="K58" s="30"/>
      <c r="L58" s="30"/>
      <c r="M58" s="30"/>
      <c r="N58" s="49">
        <f>12345.52</f>
        <v>12345.52</v>
      </c>
      <c r="O58" s="49"/>
    </row>
    <row r="59" spans="1:15" s="1" customFormat="1" ht="24" customHeight="1">
      <c r="A59" s="29" t="s">
        <v>101</v>
      </c>
      <c r="B59" s="29"/>
      <c r="C59" s="29"/>
      <c r="D59" s="29"/>
      <c r="E59" s="29"/>
      <c r="F59" s="29"/>
      <c r="G59" s="17" t="s">
        <v>88</v>
      </c>
      <c r="H59" s="17" t="s">
        <v>119</v>
      </c>
      <c r="I59" s="18">
        <f>481400</f>
        <v>481400</v>
      </c>
      <c r="J59" s="30">
        <f>130507.15</f>
        <v>130507.15</v>
      </c>
      <c r="K59" s="30"/>
      <c r="L59" s="30"/>
      <c r="M59" s="30"/>
      <c r="N59" s="49">
        <f>350892.85</f>
        <v>350892.85</v>
      </c>
      <c r="O59" s="49"/>
    </row>
    <row r="60" spans="1:15" s="1" customFormat="1" ht="13.5" customHeight="1">
      <c r="A60" s="29" t="s">
        <v>105</v>
      </c>
      <c r="B60" s="29"/>
      <c r="C60" s="29"/>
      <c r="D60" s="29"/>
      <c r="E60" s="29"/>
      <c r="F60" s="29"/>
      <c r="G60" s="17" t="s">
        <v>88</v>
      </c>
      <c r="H60" s="17" t="s">
        <v>120</v>
      </c>
      <c r="I60" s="18">
        <f>3000</f>
        <v>3000</v>
      </c>
      <c r="J60" s="30">
        <f>625</f>
        <v>625</v>
      </c>
      <c r="K60" s="30"/>
      <c r="L60" s="30"/>
      <c r="M60" s="30"/>
      <c r="N60" s="49">
        <f>2375</f>
        <v>2375</v>
      </c>
      <c r="O60" s="49"/>
    </row>
    <row r="61" spans="1:15" s="1" customFormat="1" ht="13.5" customHeight="1">
      <c r="A61" s="29" t="s">
        <v>107</v>
      </c>
      <c r="B61" s="29"/>
      <c r="C61" s="29"/>
      <c r="D61" s="29"/>
      <c r="E61" s="29"/>
      <c r="F61" s="29"/>
      <c r="G61" s="17" t="s">
        <v>88</v>
      </c>
      <c r="H61" s="17" t="s">
        <v>121</v>
      </c>
      <c r="I61" s="18">
        <f>13500</f>
        <v>13500</v>
      </c>
      <c r="J61" s="30">
        <f>3057.34</f>
        <v>3057.34</v>
      </c>
      <c r="K61" s="30"/>
      <c r="L61" s="30"/>
      <c r="M61" s="30"/>
      <c r="N61" s="49">
        <f>10442.66</f>
        <v>10442.66</v>
      </c>
      <c r="O61" s="49"/>
    </row>
    <row r="62" spans="1:15" s="1" customFormat="1" ht="13.5" customHeight="1">
      <c r="A62" s="29" t="s">
        <v>89</v>
      </c>
      <c r="B62" s="29"/>
      <c r="C62" s="29"/>
      <c r="D62" s="29"/>
      <c r="E62" s="29"/>
      <c r="F62" s="29"/>
      <c r="G62" s="17" t="s">
        <v>88</v>
      </c>
      <c r="H62" s="17" t="s">
        <v>122</v>
      </c>
      <c r="I62" s="18">
        <f>460100</f>
        <v>460100</v>
      </c>
      <c r="J62" s="30">
        <f>6960.86</f>
        <v>6960.86</v>
      </c>
      <c r="K62" s="30"/>
      <c r="L62" s="30"/>
      <c r="M62" s="30"/>
      <c r="N62" s="49">
        <f>453139.14</f>
        <v>453139.14</v>
      </c>
      <c r="O62" s="49"/>
    </row>
    <row r="63" spans="1:15" s="1" customFormat="1" ht="24" customHeight="1">
      <c r="A63" s="29" t="s">
        <v>94</v>
      </c>
      <c r="B63" s="29"/>
      <c r="C63" s="29"/>
      <c r="D63" s="29"/>
      <c r="E63" s="29"/>
      <c r="F63" s="29"/>
      <c r="G63" s="17" t="s">
        <v>88</v>
      </c>
      <c r="H63" s="17" t="s">
        <v>123</v>
      </c>
      <c r="I63" s="18">
        <f>13600</f>
        <v>13600</v>
      </c>
      <c r="J63" s="50" t="s">
        <v>46</v>
      </c>
      <c r="K63" s="50"/>
      <c r="L63" s="50"/>
      <c r="M63" s="50"/>
      <c r="N63" s="49">
        <f>13600</f>
        <v>13600</v>
      </c>
      <c r="O63" s="49"/>
    </row>
    <row r="64" spans="1:15" s="1" customFormat="1" ht="33.75" customHeight="1">
      <c r="A64" s="29" t="s">
        <v>91</v>
      </c>
      <c r="B64" s="29"/>
      <c r="C64" s="29"/>
      <c r="D64" s="29"/>
      <c r="E64" s="29"/>
      <c r="F64" s="29"/>
      <c r="G64" s="17" t="s">
        <v>88</v>
      </c>
      <c r="H64" s="17" t="s">
        <v>124</v>
      </c>
      <c r="I64" s="18">
        <f>138900</f>
        <v>138900</v>
      </c>
      <c r="J64" s="50" t="s">
        <v>46</v>
      </c>
      <c r="K64" s="50"/>
      <c r="L64" s="50"/>
      <c r="M64" s="50"/>
      <c r="N64" s="49">
        <f>138900</f>
        <v>138900</v>
      </c>
      <c r="O64" s="49"/>
    </row>
    <row r="65" spans="1:15" s="1" customFormat="1" ht="24" customHeight="1">
      <c r="A65" s="29" t="s">
        <v>117</v>
      </c>
      <c r="B65" s="29"/>
      <c r="C65" s="29"/>
      <c r="D65" s="29"/>
      <c r="E65" s="29"/>
      <c r="F65" s="29"/>
      <c r="G65" s="17" t="s">
        <v>88</v>
      </c>
      <c r="H65" s="17" t="s">
        <v>125</v>
      </c>
      <c r="I65" s="18">
        <f>19200</f>
        <v>19200</v>
      </c>
      <c r="J65" s="30">
        <f>985.3</f>
        <v>985.3</v>
      </c>
      <c r="K65" s="30"/>
      <c r="L65" s="30"/>
      <c r="M65" s="30"/>
      <c r="N65" s="49">
        <f>18214.7</f>
        <v>18214.7</v>
      </c>
      <c r="O65" s="49"/>
    </row>
    <row r="66" spans="1:15" s="1" customFormat="1" ht="24" customHeight="1">
      <c r="A66" s="29" t="s">
        <v>101</v>
      </c>
      <c r="B66" s="29"/>
      <c r="C66" s="29"/>
      <c r="D66" s="29"/>
      <c r="E66" s="29"/>
      <c r="F66" s="29"/>
      <c r="G66" s="17" t="s">
        <v>88</v>
      </c>
      <c r="H66" s="17" t="s">
        <v>126</v>
      </c>
      <c r="I66" s="18">
        <f>156200</f>
        <v>156200</v>
      </c>
      <c r="J66" s="50" t="s">
        <v>46</v>
      </c>
      <c r="K66" s="50"/>
      <c r="L66" s="50"/>
      <c r="M66" s="50"/>
      <c r="N66" s="49">
        <f>156200</f>
        <v>156200</v>
      </c>
      <c r="O66" s="49"/>
    </row>
    <row r="67" spans="1:15" s="1" customFormat="1" ht="13.5" customHeight="1">
      <c r="A67" s="29" t="s">
        <v>89</v>
      </c>
      <c r="B67" s="29"/>
      <c r="C67" s="29"/>
      <c r="D67" s="29"/>
      <c r="E67" s="29"/>
      <c r="F67" s="29"/>
      <c r="G67" s="17" t="s">
        <v>88</v>
      </c>
      <c r="H67" s="17" t="s">
        <v>127</v>
      </c>
      <c r="I67" s="18">
        <f>33000</f>
        <v>33000</v>
      </c>
      <c r="J67" s="50" t="s">
        <v>46</v>
      </c>
      <c r="K67" s="50"/>
      <c r="L67" s="50"/>
      <c r="M67" s="50"/>
      <c r="N67" s="49">
        <f>33000</f>
        <v>33000</v>
      </c>
      <c r="O67" s="49"/>
    </row>
    <row r="68" spans="1:15" s="1" customFormat="1" ht="33.75" customHeight="1">
      <c r="A68" s="29" t="s">
        <v>91</v>
      </c>
      <c r="B68" s="29"/>
      <c r="C68" s="29"/>
      <c r="D68" s="29"/>
      <c r="E68" s="29"/>
      <c r="F68" s="29"/>
      <c r="G68" s="17" t="s">
        <v>88</v>
      </c>
      <c r="H68" s="17" t="s">
        <v>128</v>
      </c>
      <c r="I68" s="18">
        <f>10000</f>
        <v>10000</v>
      </c>
      <c r="J68" s="50" t="s">
        <v>46</v>
      </c>
      <c r="K68" s="50"/>
      <c r="L68" s="50"/>
      <c r="M68" s="50"/>
      <c r="N68" s="49">
        <f>10000</f>
        <v>10000</v>
      </c>
      <c r="O68" s="49"/>
    </row>
    <row r="69" spans="1:15" s="1" customFormat="1" ht="24" customHeight="1">
      <c r="A69" s="29" t="s">
        <v>101</v>
      </c>
      <c r="B69" s="29"/>
      <c r="C69" s="29"/>
      <c r="D69" s="29"/>
      <c r="E69" s="29"/>
      <c r="F69" s="29"/>
      <c r="G69" s="17" t="s">
        <v>88</v>
      </c>
      <c r="H69" s="17" t="s">
        <v>129</v>
      </c>
      <c r="I69" s="18">
        <f>51300</f>
        <v>51300</v>
      </c>
      <c r="J69" s="50" t="s">
        <v>46</v>
      </c>
      <c r="K69" s="50"/>
      <c r="L69" s="50"/>
      <c r="M69" s="50"/>
      <c r="N69" s="49">
        <f>51300</f>
        <v>51300</v>
      </c>
      <c r="O69" s="49"/>
    </row>
    <row r="70" spans="1:15" s="1" customFormat="1" ht="24" customHeight="1">
      <c r="A70" s="29" t="s">
        <v>101</v>
      </c>
      <c r="B70" s="29"/>
      <c r="C70" s="29"/>
      <c r="D70" s="29"/>
      <c r="E70" s="29"/>
      <c r="F70" s="29"/>
      <c r="G70" s="17" t="s">
        <v>88</v>
      </c>
      <c r="H70" s="17" t="s">
        <v>130</v>
      </c>
      <c r="I70" s="18">
        <f>150000</f>
        <v>150000</v>
      </c>
      <c r="J70" s="30">
        <f>4798</f>
        <v>4798</v>
      </c>
      <c r="K70" s="30"/>
      <c r="L70" s="30"/>
      <c r="M70" s="30"/>
      <c r="N70" s="49">
        <f>145202</f>
        <v>145202</v>
      </c>
      <c r="O70" s="49"/>
    </row>
    <row r="71" spans="1:15" s="1" customFormat="1" ht="24" customHeight="1">
      <c r="A71" s="29" t="s">
        <v>101</v>
      </c>
      <c r="B71" s="29"/>
      <c r="C71" s="29"/>
      <c r="D71" s="29"/>
      <c r="E71" s="29"/>
      <c r="F71" s="29"/>
      <c r="G71" s="17" t="s">
        <v>88</v>
      </c>
      <c r="H71" s="17" t="s">
        <v>131</v>
      </c>
      <c r="I71" s="18">
        <f>168900</f>
        <v>168900</v>
      </c>
      <c r="J71" s="30">
        <f>7700</f>
        <v>7700</v>
      </c>
      <c r="K71" s="30"/>
      <c r="L71" s="30"/>
      <c r="M71" s="30"/>
      <c r="N71" s="49">
        <f>161200</f>
        <v>161200</v>
      </c>
      <c r="O71" s="49"/>
    </row>
    <row r="72" spans="1:15" s="1" customFormat="1" ht="24" customHeight="1">
      <c r="A72" s="29" t="s">
        <v>101</v>
      </c>
      <c r="B72" s="29"/>
      <c r="C72" s="29"/>
      <c r="D72" s="29"/>
      <c r="E72" s="29"/>
      <c r="F72" s="29"/>
      <c r="G72" s="17" t="s">
        <v>88</v>
      </c>
      <c r="H72" s="17" t="s">
        <v>132</v>
      </c>
      <c r="I72" s="18">
        <f>9690</f>
        <v>9690</v>
      </c>
      <c r="J72" s="50" t="s">
        <v>46</v>
      </c>
      <c r="K72" s="50"/>
      <c r="L72" s="50"/>
      <c r="M72" s="50"/>
      <c r="N72" s="49">
        <f>9690</f>
        <v>9690</v>
      </c>
      <c r="O72" s="49"/>
    </row>
    <row r="73" spans="1:15" s="1" customFormat="1" ht="24" customHeight="1">
      <c r="A73" s="29" t="s">
        <v>101</v>
      </c>
      <c r="B73" s="29"/>
      <c r="C73" s="29"/>
      <c r="D73" s="29"/>
      <c r="E73" s="29"/>
      <c r="F73" s="29"/>
      <c r="G73" s="17" t="s">
        <v>88</v>
      </c>
      <c r="H73" s="17" t="s">
        <v>133</v>
      </c>
      <c r="I73" s="18">
        <f>4150</f>
        <v>4150</v>
      </c>
      <c r="J73" s="50" t="s">
        <v>46</v>
      </c>
      <c r="K73" s="50"/>
      <c r="L73" s="50"/>
      <c r="M73" s="50"/>
      <c r="N73" s="49">
        <f>4150</f>
        <v>4150</v>
      </c>
      <c r="O73" s="49"/>
    </row>
    <row r="74" spans="1:15" s="1" customFormat="1" ht="24" customHeight="1">
      <c r="A74" s="29" t="s">
        <v>101</v>
      </c>
      <c r="B74" s="29"/>
      <c r="C74" s="29"/>
      <c r="D74" s="29"/>
      <c r="E74" s="29"/>
      <c r="F74" s="29"/>
      <c r="G74" s="17" t="s">
        <v>88</v>
      </c>
      <c r="H74" s="17" t="s">
        <v>134</v>
      </c>
      <c r="I74" s="18">
        <f>3366302</f>
        <v>3366302</v>
      </c>
      <c r="J74" s="30">
        <f>233399.44</f>
        <v>233399.44</v>
      </c>
      <c r="K74" s="30"/>
      <c r="L74" s="30"/>
      <c r="M74" s="30"/>
      <c r="N74" s="49">
        <f>3132902.56</f>
        <v>3132902.56</v>
      </c>
      <c r="O74" s="49"/>
    </row>
    <row r="75" spans="1:15" s="1" customFormat="1" ht="33.75" customHeight="1">
      <c r="A75" s="29" t="s">
        <v>135</v>
      </c>
      <c r="B75" s="29"/>
      <c r="C75" s="29"/>
      <c r="D75" s="29"/>
      <c r="E75" s="29"/>
      <c r="F75" s="29"/>
      <c r="G75" s="17" t="s">
        <v>88</v>
      </c>
      <c r="H75" s="17" t="s">
        <v>136</v>
      </c>
      <c r="I75" s="18">
        <f>1050000</f>
        <v>1050000</v>
      </c>
      <c r="J75" s="30">
        <f>94577.4</f>
        <v>94577.4</v>
      </c>
      <c r="K75" s="30"/>
      <c r="L75" s="30"/>
      <c r="M75" s="30"/>
      <c r="N75" s="49">
        <f>955422.6</f>
        <v>955422.6</v>
      </c>
      <c r="O75" s="49"/>
    </row>
    <row r="76" spans="1:15" s="1" customFormat="1" ht="24" customHeight="1">
      <c r="A76" s="29" t="s">
        <v>101</v>
      </c>
      <c r="B76" s="29"/>
      <c r="C76" s="29"/>
      <c r="D76" s="29"/>
      <c r="E76" s="29"/>
      <c r="F76" s="29"/>
      <c r="G76" s="17" t="s">
        <v>88</v>
      </c>
      <c r="H76" s="17" t="s">
        <v>137</v>
      </c>
      <c r="I76" s="18">
        <f>6202100</f>
        <v>6202100</v>
      </c>
      <c r="J76" s="50" t="s">
        <v>46</v>
      </c>
      <c r="K76" s="50"/>
      <c r="L76" s="50"/>
      <c r="M76" s="50"/>
      <c r="N76" s="49">
        <f>6202100</f>
        <v>6202100</v>
      </c>
      <c r="O76" s="49"/>
    </row>
    <row r="77" spans="1:15" s="1" customFormat="1" ht="24" customHeight="1">
      <c r="A77" s="29" t="s">
        <v>101</v>
      </c>
      <c r="B77" s="29"/>
      <c r="C77" s="29"/>
      <c r="D77" s="29"/>
      <c r="E77" s="29"/>
      <c r="F77" s="29"/>
      <c r="G77" s="17" t="s">
        <v>88</v>
      </c>
      <c r="H77" s="17" t="s">
        <v>138</v>
      </c>
      <c r="I77" s="18">
        <f>17724831</f>
        <v>17724831</v>
      </c>
      <c r="J77" s="50" t="s">
        <v>46</v>
      </c>
      <c r="K77" s="50"/>
      <c r="L77" s="50"/>
      <c r="M77" s="50"/>
      <c r="N77" s="49">
        <f>17724831</f>
        <v>17724831</v>
      </c>
      <c r="O77" s="49"/>
    </row>
    <row r="78" spans="1:15" s="1" customFormat="1" ht="24" customHeight="1">
      <c r="A78" s="29" t="s">
        <v>101</v>
      </c>
      <c r="B78" s="29"/>
      <c r="C78" s="29"/>
      <c r="D78" s="29"/>
      <c r="E78" s="29"/>
      <c r="F78" s="29"/>
      <c r="G78" s="17" t="s">
        <v>88</v>
      </c>
      <c r="H78" s="17" t="s">
        <v>139</v>
      </c>
      <c r="I78" s="18">
        <f>130000</f>
        <v>130000</v>
      </c>
      <c r="J78" s="50" t="s">
        <v>46</v>
      </c>
      <c r="K78" s="50"/>
      <c r="L78" s="50"/>
      <c r="M78" s="50"/>
      <c r="N78" s="49">
        <f>130000</f>
        <v>130000</v>
      </c>
      <c r="O78" s="49"/>
    </row>
    <row r="79" spans="1:15" s="1" customFormat="1" ht="24" customHeight="1">
      <c r="A79" s="29" t="s">
        <v>101</v>
      </c>
      <c r="B79" s="29"/>
      <c r="C79" s="29"/>
      <c r="D79" s="29"/>
      <c r="E79" s="29"/>
      <c r="F79" s="29"/>
      <c r="G79" s="17" t="s">
        <v>88</v>
      </c>
      <c r="H79" s="17" t="s">
        <v>140</v>
      </c>
      <c r="I79" s="18">
        <f>60000</f>
        <v>60000</v>
      </c>
      <c r="J79" s="50" t="s">
        <v>46</v>
      </c>
      <c r="K79" s="50"/>
      <c r="L79" s="50"/>
      <c r="M79" s="50"/>
      <c r="N79" s="49">
        <f>60000</f>
        <v>60000</v>
      </c>
      <c r="O79" s="49"/>
    </row>
    <row r="80" spans="1:15" s="1" customFormat="1" ht="24" customHeight="1">
      <c r="A80" s="29" t="s">
        <v>117</v>
      </c>
      <c r="B80" s="29"/>
      <c r="C80" s="29"/>
      <c r="D80" s="29"/>
      <c r="E80" s="29"/>
      <c r="F80" s="29"/>
      <c r="G80" s="17" t="s">
        <v>88</v>
      </c>
      <c r="H80" s="17" t="s">
        <v>141</v>
      </c>
      <c r="I80" s="18">
        <f>153138.57</f>
        <v>153138.57</v>
      </c>
      <c r="J80" s="30">
        <f>16701.33</f>
        <v>16701.33</v>
      </c>
      <c r="K80" s="30"/>
      <c r="L80" s="30"/>
      <c r="M80" s="30"/>
      <c r="N80" s="49">
        <f>136437.24</f>
        <v>136437.24</v>
      </c>
      <c r="O80" s="49"/>
    </row>
    <row r="81" spans="1:15" s="1" customFormat="1" ht="24" customHeight="1">
      <c r="A81" s="29" t="s">
        <v>117</v>
      </c>
      <c r="B81" s="29"/>
      <c r="C81" s="29"/>
      <c r="D81" s="29"/>
      <c r="E81" s="29"/>
      <c r="F81" s="29"/>
      <c r="G81" s="17" t="s">
        <v>88</v>
      </c>
      <c r="H81" s="17" t="s">
        <v>142</v>
      </c>
      <c r="I81" s="18">
        <f>335550</f>
        <v>335550</v>
      </c>
      <c r="J81" s="30">
        <f>60344.3</f>
        <v>60344.3</v>
      </c>
      <c r="K81" s="30"/>
      <c r="L81" s="30"/>
      <c r="M81" s="30"/>
      <c r="N81" s="49">
        <f>275205.7</f>
        <v>275205.7</v>
      </c>
      <c r="O81" s="49"/>
    </row>
    <row r="82" spans="1:15" s="1" customFormat="1" ht="24" customHeight="1">
      <c r="A82" s="29" t="s">
        <v>101</v>
      </c>
      <c r="B82" s="29"/>
      <c r="C82" s="29"/>
      <c r="D82" s="29"/>
      <c r="E82" s="29"/>
      <c r="F82" s="29"/>
      <c r="G82" s="17" t="s">
        <v>88</v>
      </c>
      <c r="H82" s="17" t="s">
        <v>143</v>
      </c>
      <c r="I82" s="18">
        <f>248000</f>
        <v>248000</v>
      </c>
      <c r="J82" s="50" t="s">
        <v>46</v>
      </c>
      <c r="K82" s="50"/>
      <c r="L82" s="50"/>
      <c r="M82" s="50"/>
      <c r="N82" s="49">
        <f>248000</f>
        <v>248000</v>
      </c>
      <c r="O82" s="49"/>
    </row>
    <row r="83" spans="1:15" s="1" customFormat="1" ht="24" customHeight="1">
      <c r="A83" s="29" t="s">
        <v>101</v>
      </c>
      <c r="B83" s="29"/>
      <c r="C83" s="29"/>
      <c r="D83" s="29"/>
      <c r="E83" s="29"/>
      <c r="F83" s="29"/>
      <c r="G83" s="17" t="s">
        <v>88</v>
      </c>
      <c r="H83" s="17" t="s">
        <v>144</v>
      </c>
      <c r="I83" s="18">
        <f>332700</f>
        <v>332700</v>
      </c>
      <c r="J83" s="30">
        <f>24820.05</f>
        <v>24820.05</v>
      </c>
      <c r="K83" s="30"/>
      <c r="L83" s="30"/>
      <c r="M83" s="30"/>
      <c r="N83" s="49">
        <f>307879.95</f>
        <v>307879.95</v>
      </c>
      <c r="O83" s="49"/>
    </row>
    <row r="84" spans="1:15" s="1" customFormat="1" ht="24" customHeight="1">
      <c r="A84" s="29" t="s">
        <v>101</v>
      </c>
      <c r="B84" s="29"/>
      <c r="C84" s="29"/>
      <c r="D84" s="29"/>
      <c r="E84" s="29"/>
      <c r="F84" s="29"/>
      <c r="G84" s="17" t="s">
        <v>88</v>
      </c>
      <c r="H84" s="17" t="s">
        <v>145</v>
      </c>
      <c r="I84" s="18">
        <f>1500000</f>
        <v>1500000</v>
      </c>
      <c r="J84" s="50" t="s">
        <v>46</v>
      </c>
      <c r="K84" s="50"/>
      <c r="L84" s="50"/>
      <c r="M84" s="50"/>
      <c r="N84" s="49">
        <f>1500000</f>
        <v>1500000</v>
      </c>
      <c r="O84" s="49"/>
    </row>
    <row r="85" spans="1:15" s="1" customFormat="1" ht="33.75" customHeight="1">
      <c r="A85" s="29" t="s">
        <v>135</v>
      </c>
      <c r="B85" s="29"/>
      <c r="C85" s="29"/>
      <c r="D85" s="29"/>
      <c r="E85" s="29"/>
      <c r="F85" s="29"/>
      <c r="G85" s="17" t="s">
        <v>88</v>
      </c>
      <c r="H85" s="17" t="s">
        <v>146</v>
      </c>
      <c r="I85" s="18">
        <f>783953</f>
        <v>783953</v>
      </c>
      <c r="J85" s="50" t="s">
        <v>46</v>
      </c>
      <c r="K85" s="50"/>
      <c r="L85" s="50"/>
      <c r="M85" s="50"/>
      <c r="N85" s="49">
        <f>783953</f>
        <v>783953</v>
      </c>
      <c r="O85" s="49"/>
    </row>
    <row r="86" spans="1:15" s="1" customFormat="1" ht="13.5" customHeight="1">
      <c r="A86" s="29" t="s">
        <v>97</v>
      </c>
      <c r="B86" s="29"/>
      <c r="C86" s="29"/>
      <c r="D86" s="29"/>
      <c r="E86" s="29"/>
      <c r="F86" s="29"/>
      <c r="G86" s="17" t="s">
        <v>88</v>
      </c>
      <c r="H86" s="17" t="s">
        <v>147</v>
      </c>
      <c r="I86" s="18">
        <f>6650000</f>
        <v>6650000</v>
      </c>
      <c r="J86" s="50" t="s">
        <v>46</v>
      </c>
      <c r="K86" s="50"/>
      <c r="L86" s="50"/>
      <c r="M86" s="50"/>
      <c r="N86" s="49">
        <f>6650000</f>
        <v>6650000</v>
      </c>
      <c r="O86" s="49"/>
    </row>
    <row r="87" spans="1:15" s="1" customFormat="1" ht="13.5" customHeight="1">
      <c r="A87" s="29" t="s">
        <v>97</v>
      </c>
      <c r="B87" s="29"/>
      <c r="C87" s="29"/>
      <c r="D87" s="29"/>
      <c r="E87" s="29"/>
      <c r="F87" s="29"/>
      <c r="G87" s="17" t="s">
        <v>88</v>
      </c>
      <c r="H87" s="17" t="s">
        <v>148</v>
      </c>
      <c r="I87" s="18">
        <f>350000</f>
        <v>350000</v>
      </c>
      <c r="J87" s="50" t="s">
        <v>46</v>
      </c>
      <c r="K87" s="50"/>
      <c r="L87" s="50"/>
      <c r="M87" s="50"/>
      <c r="N87" s="49">
        <f>350000</f>
        <v>350000</v>
      </c>
      <c r="O87" s="49"/>
    </row>
    <row r="88" spans="1:15" s="1" customFormat="1" ht="24" customHeight="1">
      <c r="A88" s="29" t="s">
        <v>101</v>
      </c>
      <c r="B88" s="29"/>
      <c r="C88" s="29"/>
      <c r="D88" s="29"/>
      <c r="E88" s="29"/>
      <c r="F88" s="29"/>
      <c r="G88" s="17" t="s">
        <v>88</v>
      </c>
      <c r="H88" s="17" t="s">
        <v>149</v>
      </c>
      <c r="I88" s="18">
        <f>867198.37</f>
        <v>867198.37</v>
      </c>
      <c r="J88" s="30">
        <f>176456.69</f>
        <v>176456.69</v>
      </c>
      <c r="K88" s="30"/>
      <c r="L88" s="30"/>
      <c r="M88" s="30"/>
      <c r="N88" s="49">
        <f>690741.68</f>
        <v>690741.68</v>
      </c>
      <c r="O88" s="49"/>
    </row>
    <row r="89" spans="1:15" s="1" customFormat="1" ht="24" customHeight="1">
      <c r="A89" s="29" t="s">
        <v>101</v>
      </c>
      <c r="B89" s="29"/>
      <c r="C89" s="29"/>
      <c r="D89" s="29"/>
      <c r="E89" s="29"/>
      <c r="F89" s="29"/>
      <c r="G89" s="17" t="s">
        <v>88</v>
      </c>
      <c r="H89" s="17" t="s">
        <v>150</v>
      </c>
      <c r="I89" s="18">
        <f>50000</f>
        <v>50000</v>
      </c>
      <c r="J89" s="50" t="s">
        <v>46</v>
      </c>
      <c r="K89" s="50"/>
      <c r="L89" s="50"/>
      <c r="M89" s="50"/>
      <c r="N89" s="49">
        <f>50000</f>
        <v>50000</v>
      </c>
      <c r="O89" s="49"/>
    </row>
    <row r="90" spans="1:15" s="1" customFormat="1" ht="24" customHeight="1">
      <c r="A90" s="29" t="s">
        <v>101</v>
      </c>
      <c r="B90" s="29"/>
      <c r="C90" s="29"/>
      <c r="D90" s="29"/>
      <c r="E90" s="29"/>
      <c r="F90" s="29"/>
      <c r="G90" s="17" t="s">
        <v>88</v>
      </c>
      <c r="H90" s="17" t="s">
        <v>151</v>
      </c>
      <c r="I90" s="18">
        <f>400000</f>
        <v>400000</v>
      </c>
      <c r="J90" s="50" t="s">
        <v>46</v>
      </c>
      <c r="K90" s="50"/>
      <c r="L90" s="50"/>
      <c r="M90" s="50"/>
      <c r="N90" s="49">
        <f>400000</f>
        <v>400000</v>
      </c>
      <c r="O90" s="49"/>
    </row>
    <row r="91" spans="1:15" s="1" customFormat="1" ht="24" customHeight="1">
      <c r="A91" s="29" t="s">
        <v>101</v>
      </c>
      <c r="B91" s="29"/>
      <c r="C91" s="29"/>
      <c r="D91" s="29"/>
      <c r="E91" s="29"/>
      <c r="F91" s="29"/>
      <c r="G91" s="17" t="s">
        <v>88</v>
      </c>
      <c r="H91" s="17" t="s">
        <v>152</v>
      </c>
      <c r="I91" s="18">
        <f>2178300</f>
        <v>2178300</v>
      </c>
      <c r="J91" s="30">
        <f>248063</f>
        <v>248063</v>
      </c>
      <c r="K91" s="30"/>
      <c r="L91" s="30"/>
      <c r="M91" s="30"/>
      <c r="N91" s="49">
        <f>1930237</f>
        <v>1930237</v>
      </c>
      <c r="O91" s="49"/>
    </row>
    <row r="92" spans="1:15" s="1" customFormat="1" ht="24" customHeight="1">
      <c r="A92" s="29" t="s">
        <v>101</v>
      </c>
      <c r="B92" s="29"/>
      <c r="C92" s="29"/>
      <c r="D92" s="29"/>
      <c r="E92" s="29"/>
      <c r="F92" s="29"/>
      <c r="G92" s="17" t="s">
        <v>88</v>
      </c>
      <c r="H92" s="17" t="s">
        <v>153</v>
      </c>
      <c r="I92" s="18">
        <f>675000</f>
        <v>675000</v>
      </c>
      <c r="J92" s="50" t="s">
        <v>46</v>
      </c>
      <c r="K92" s="50"/>
      <c r="L92" s="50"/>
      <c r="M92" s="50"/>
      <c r="N92" s="49">
        <f>675000</f>
        <v>675000</v>
      </c>
      <c r="O92" s="49"/>
    </row>
    <row r="93" spans="1:15" s="1" customFormat="1" ht="13.5" customHeight="1">
      <c r="A93" s="29" t="s">
        <v>97</v>
      </c>
      <c r="B93" s="29"/>
      <c r="C93" s="29"/>
      <c r="D93" s="29"/>
      <c r="E93" s="29"/>
      <c r="F93" s="29"/>
      <c r="G93" s="17" t="s">
        <v>88</v>
      </c>
      <c r="H93" s="17" t="s">
        <v>154</v>
      </c>
      <c r="I93" s="18">
        <f>316842</f>
        <v>316842</v>
      </c>
      <c r="J93" s="50" t="s">
        <v>46</v>
      </c>
      <c r="K93" s="50"/>
      <c r="L93" s="50"/>
      <c r="M93" s="50"/>
      <c r="N93" s="49">
        <f>316842</f>
        <v>316842</v>
      </c>
      <c r="O93" s="49"/>
    </row>
    <row r="94" spans="1:15" s="1" customFormat="1" ht="13.5" customHeight="1">
      <c r="A94" s="29" t="s">
        <v>111</v>
      </c>
      <c r="B94" s="29"/>
      <c r="C94" s="29"/>
      <c r="D94" s="29"/>
      <c r="E94" s="29"/>
      <c r="F94" s="29"/>
      <c r="G94" s="17" t="s">
        <v>88</v>
      </c>
      <c r="H94" s="17" t="s">
        <v>155</v>
      </c>
      <c r="I94" s="18">
        <f>296000</f>
        <v>296000</v>
      </c>
      <c r="J94" s="30">
        <f>30694.63</f>
        <v>30694.63</v>
      </c>
      <c r="K94" s="30"/>
      <c r="L94" s="30"/>
      <c r="M94" s="30"/>
      <c r="N94" s="49">
        <f>265305.37</f>
        <v>265305.37</v>
      </c>
      <c r="O94" s="49"/>
    </row>
    <row r="95" spans="1:15" s="1" customFormat="1" ht="24" customHeight="1">
      <c r="A95" s="29" t="s">
        <v>113</v>
      </c>
      <c r="B95" s="29"/>
      <c r="C95" s="29"/>
      <c r="D95" s="29"/>
      <c r="E95" s="29"/>
      <c r="F95" s="29"/>
      <c r="G95" s="17" t="s">
        <v>88</v>
      </c>
      <c r="H95" s="17" t="s">
        <v>156</v>
      </c>
      <c r="I95" s="18">
        <f>25600</f>
        <v>25600</v>
      </c>
      <c r="J95" s="50" t="s">
        <v>46</v>
      </c>
      <c r="K95" s="50"/>
      <c r="L95" s="50"/>
      <c r="M95" s="50"/>
      <c r="N95" s="49">
        <f>25600</f>
        <v>25600</v>
      </c>
      <c r="O95" s="49"/>
    </row>
    <row r="96" spans="1:15" s="1" customFormat="1" ht="24" customHeight="1">
      <c r="A96" s="29" t="s">
        <v>115</v>
      </c>
      <c r="B96" s="29"/>
      <c r="C96" s="29"/>
      <c r="D96" s="29"/>
      <c r="E96" s="29"/>
      <c r="F96" s="29"/>
      <c r="G96" s="17" t="s">
        <v>88</v>
      </c>
      <c r="H96" s="17" t="s">
        <v>157</v>
      </c>
      <c r="I96" s="18">
        <f>89000</f>
        <v>89000</v>
      </c>
      <c r="J96" s="30">
        <f>11687.46</f>
        <v>11687.46</v>
      </c>
      <c r="K96" s="30"/>
      <c r="L96" s="30"/>
      <c r="M96" s="30"/>
      <c r="N96" s="49">
        <f>77312.54</f>
        <v>77312.54</v>
      </c>
      <c r="O96" s="49"/>
    </row>
    <row r="97" spans="1:15" s="1" customFormat="1" ht="24" customHeight="1">
      <c r="A97" s="29" t="s">
        <v>101</v>
      </c>
      <c r="B97" s="29"/>
      <c r="C97" s="29"/>
      <c r="D97" s="29"/>
      <c r="E97" s="29"/>
      <c r="F97" s="29"/>
      <c r="G97" s="17" t="s">
        <v>88</v>
      </c>
      <c r="H97" s="17" t="s">
        <v>158</v>
      </c>
      <c r="I97" s="18">
        <f>29200</f>
        <v>29200</v>
      </c>
      <c r="J97" s="50" t="s">
        <v>46</v>
      </c>
      <c r="K97" s="50"/>
      <c r="L97" s="50"/>
      <c r="M97" s="50"/>
      <c r="N97" s="49">
        <f>29200</f>
        <v>29200</v>
      </c>
      <c r="O97" s="49"/>
    </row>
    <row r="98" spans="1:15" s="1" customFormat="1" ht="24" customHeight="1">
      <c r="A98" s="29" t="s">
        <v>101</v>
      </c>
      <c r="B98" s="29"/>
      <c r="C98" s="29"/>
      <c r="D98" s="29"/>
      <c r="E98" s="29"/>
      <c r="F98" s="29"/>
      <c r="G98" s="17" t="s">
        <v>88</v>
      </c>
      <c r="H98" s="17" t="s">
        <v>159</v>
      </c>
      <c r="I98" s="18">
        <f>9100</f>
        <v>9100</v>
      </c>
      <c r="J98" s="50" t="s">
        <v>46</v>
      </c>
      <c r="K98" s="50"/>
      <c r="L98" s="50"/>
      <c r="M98" s="50"/>
      <c r="N98" s="49">
        <f>9100</f>
        <v>9100</v>
      </c>
      <c r="O98" s="49"/>
    </row>
    <row r="99" spans="1:15" s="1" customFormat="1" ht="24" customHeight="1">
      <c r="A99" s="29" t="s">
        <v>101</v>
      </c>
      <c r="B99" s="29"/>
      <c r="C99" s="29"/>
      <c r="D99" s="29"/>
      <c r="E99" s="29"/>
      <c r="F99" s="29"/>
      <c r="G99" s="17" t="s">
        <v>88</v>
      </c>
      <c r="H99" s="17" t="s">
        <v>160</v>
      </c>
      <c r="I99" s="18">
        <f>33800</f>
        <v>33800</v>
      </c>
      <c r="J99" s="50" t="s">
        <v>46</v>
      </c>
      <c r="K99" s="50"/>
      <c r="L99" s="50"/>
      <c r="M99" s="50"/>
      <c r="N99" s="49">
        <f>33800</f>
        <v>33800</v>
      </c>
      <c r="O99" s="49"/>
    </row>
    <row r="100" spans="1:15" s="1" customFormat="1" ht="24" customHeight="1">
      <c r="A100" s="29" t="s">
        <v>101</v>
      </c>
      <c r="B100" s="29"/>
      <c r="C100" s="29"/>
      <c r="D100" s="29"/>
      <c r="E100" s="29"/>
      <c r="F100" s="29"/>
      <c r="G100" s="17" t="s">
        <v>88</v>
      </c>
      <c r="H100" s="17" t="s">
        <v>161</v>
      </c>
      <c r="I100" s="18">
        <f>49600</f>
        <v>49600</v>
      </c>
      <c r="J100" s="50" t="s">
        <v>46</v>
      </c>
      <c r="K100" s="50"/>
      <c r="L100" s="50"/>
      <c r="M100" s="50"/>
      <c r="N100" s="49">
        <f>49600</f>
        <v>49600</v>
      </c>
      <c r="O100" s="49"/>
    </row>
    <row r="101" spans="1:15" s="1" customFormat="1" ht="13.5" customHeight="1">
      <c r="A101" s="29" t="s">
        <v>111</v>
      </c>
      <c r="B101" s="29"/>
      <c r="C101" s="29"/>
      <c r="D101" s="29"/>
      <c r="E101" s="29"/>
      <c r="F101" s="29"/>
      <c r="G101" s="17" t="s">
        <v>88</v>
      </c>
      <c r="H101" s="17" t="s">
        <v>162</v>
      </c>
      <c r="I101" s="18">
        <f>2758600</f>
        <v>2758600</v>
      </c>
      <c r="J101" s="30">
        <f>349922.72</f>
        <v>349922.72</v>
      </c>
      <c r="K101" s="30"/>
      <c r="L101" s="30"/>
      <c r="M101" s="30"/>
      <c r="N101" s="49">
        <f>2408677.28</f>
        <v>2408677.28</v>
      </c>
      <c r="O101" s="49"/>
    </row>
    <row r="102" spans="1:15" s="1" customFormat="1" ht="24" customHeight="1">
      <c r="A102" s="29" t="s">
        <v>113</v>
      </c>
      <c r="B102" s="29"/>
      <c r="C102" s="29"/>
      <c r="D102" s="29"/>
      <c r="E102" s="29"/>
      <c r="F102" s="29"/>
      <c r="G102" s="17" t="s">
        <v>88</v>
      </c>
      <c r="H102" s="17" t="s">
        <v>163</v>
      </c>
      <c r="I102" s="18">
        <f>240400</f>
        <v>240400</v>
      </c>
      <c r="J102" s="30">
        <f>4350</f>
        <v>4350</v>
      </c>
      <c r="K102" s="30"/>
      <c r="L102" s="30"/>
      <c r="M102" s="30"/>
      <c r="N102" s="49">
        <f>236050</f>
        <v>236050</v>
      </c>
      <c r="O102" s="49"/>
    </row>
    <row r="103" spans="1:15" s="1" customFormat="1" ht="24" customHeight="1">
      <c r="A103" s="29" t="s">
        <v>115</v>
      </c>
      <c r="B103" s="29"/>
      <c r="C103" s="29"/>
      <c r="D103" s="29"/>
      <c r="E103" s="29"/>
      <c r="F103" s="29"/>
      <c r="G103" s="17" t="s">
        <v>88</v>
      </c>
      <c r="H103" s="17" t="s">
        <v>164</v>
      </c>
      <c r="I103" s="18">
        <f>833100</f>
        <v>833100</v>
      </c>
      <c r="J103" s="30">
        <f>133891.67</f>
        <v>133891.67</v>
      </c>
      <c r="K103" s="30"/>
      <c r="L103" s="30"/>
      <c r="M103" s="30"/>
      <c r="N103" s="49">
        <f>699208.33</f>
        <v>699208.33</v>
      </c>
      <c r="O103" s="49"/>
    </row>
    <row r="104" spans="1:15" s="1" customFormat="1" ht="24" customHeight="1">
      <c r="A104" s="29" t="s">
        <v>117</v>
      </c>
      <c r="B104" s="29"/>
      <c r="C104" s="29"/>
      <c r="D104" s="29"/>
      <c r="E104" s="29"/>
      <c r="F104" s="29"/>
      <c r="G104" s="17" t="s">
        <v>88</v>
      </c>
      <c r="H104" s="17" t="s">
        <v>165</v>
      </c>
      <c r="I104" s="18">
        <f>51313.44</f>
        <v>51313.44</v>
      </c>
      <c r="J104" s="30">
        <f>9138.29</f>
        <v>9138.29</v>
      </c>
      <c r="K104" s="30"/>
      <c r="L104" s="30"/>
      <c r="M104" s="30"/>
      <c r="N104" s="49">
        <f>42175.15</f>
        <v>42175.15</v>
      </c>
      <c r="O104" s="49"/>
    </row>
    <row r="105" spans="1:15" s="1" customFormat="1" ht="24" customHeight="1">
      <c r="A105" s="29" t="s">
        <v>101</v>
      </c>
      <c r="B105" s="29"/>
      <c r="C105" s="29"/>
      <c r="D105" s="29"/>
      <c r="E105" s="29"/>
      <c r="F105" s="29"/>
      <c r="G105" s="17" t="s">
        <v>88</v>
      </c>
      <c r="H105" s="17" t="s">
        <v>166</v>
      </c>
      <c r="I105" s="18">
        <f>804290</f>
        <v>804290</v>
      </c>
      <c r="J105" s="30">
        <f>165014.68</f>
        <v>165014.68</v>
      </c>
      <c r="K105" s="30"/>
      <c r="L105" s="30"/>
      <c r="M105" s="30"/>
      <c r="N105" s="49">
        <f>639275.32</f>
        <v>639275.32</v>
      </c>
      <c r="O105" s="49"/>
    </row>
    <row r="106" spans="1:15" s="1" customFormat="1" ht="13.5" customHeight="1">
      <c r="A106" s="29" t="s">
        <v>105</v>
      </c>
      <c r="B106" s="29"/>
      <c r="C106" s="29"/>
      <c r="D106" s="29"/>
      <c r="E106" s="29"/>
      <c r="F106" s="29"/>
      <c r="G106" s="17" t="s">
        <v>88</v>
      </c>
      <c r="H106" s="17" t="s">
        <v>167</v>
      </c>
      <c r="I106" s="18">
        <f>20000</f>
        <v>20000</v>
      </c>
      <c r="J106" s="30">
        <f>3168</f>
        <v>3168</v>
      </c>
      <c r="K106" s="30"/>
      <c r="L106" s="30"/>
      <c r="M106" s="30"/>
      <c r="N106" s="49">
        <f>16832</f>
        <v>16832</v>
      </c>
      <c r="O106" s="49"/>
    </row>
    <row r="107" spans="1:15" s="1" customFormat="1" ht="13.5" customHeight="1">
      <c r="A107" s="29" t="s">
        <v>107</v>
      </c>
      <c r="B107" s="29"/>
      <c r="C107" s="29"/>
      <c r="D107" s="29"/>
      <c r="E107" s="29"/>
      <c r="F107" s="29"/>
      <c r="G107" s="17" t="s">
        <v>88</v>
      </c>
      <c r="H107" s="17" t="s">
        <v>168</v>
      </c>
      <c r="I107" s="18">
        <f>10000</f>
        <v>10000</v>
      </c>
      <c r="J107" s="30">
        <f>2371.24</f>
        <v>2371.24</v>
      </c>
      <c r="K107" s="30"/>
      <c r="L107" s="30"/>
      <c r="M107" s="30"/>
      <c r="N107" s="49">
        <f>7628.76</f>
        <v>7628.76</v>
      </c>
      <c r="O107" s="49"/>
    </row>
    <row r="108" spans="1:15" s="1" customFormat="1" ht="13.5" customHeight="1">
      <c r="A108" s="29" t="s">
        <v>111</v>
      </c>
      <c r="B108" s="29"/>
      <c r="C108" s="29"/>
      <c r="D108" s="29"/>
      <c r="E108" s="29"/>
      <c r="F108" s="29"/>
      <c r="G108" s="17" t="s">
        <v>88</v>
      </c>
      <c r="H108" s="17" t="s">
        <v>169</v>
      </c>
      <c r="I108" s="18">
        <f>517400</f>
        <v>517400</v>
      </c>
      <c r="J108" s="50" t="s">
        <v>46</v>
      </c>
      <c r="K108" s="50"/>
      <c r="L108" s="50"/>
      <c r="M108" s="50"/>
      <c r="N108" s="49">
        <f>517400</f>
        <v>517400</v>
      </c>
      <c r="O108" s="49"/>
    </row>
    <row r="109" spans="1:15" s="1" customFormat="1" ht="24" customHeight="1">
      <c r="A109" s="29" t="s">
        <v>115</v>
      </c>
      <c r="B109" s="29"/>
      <c r="C109" s="29"/>
      <c r="D109" s="29"/>
      <c r="E109" s="29"/>
      <c r="F109" s="29"/>
      <c r="G109" s="17" t="s">
        <v>88</v>
      </c>
      <c r="H109" s="17" t="s">
        <v>170</v>
      </c>
      <c r="I109" s="18">
        <f>156200</f>
        <v>156200</v>
      </c>
      <c r="J109" s="50" t="s">
        <v>46</v>
      </c>
      <c r="K109" s="50"/>
      <c r="L109" s="50"/>
      <c r="M109" s="50"/>
      <c r="N109" s="49">
        <f>156200</f>
        <v>156200</v>
      </c>
      <c r="O109" s="49"/>
    </row>
    <row r="110" spans="1:15" s="1" customFormat="1" ht="13.5" customHeight="1">
      <c r="A110" s="29" t="s">
        <v>111</v>
      </c>
      <c r="B110" s="29"/>
      <c r="C110" s="29"/>
      <c r="D110" s="29"/>
      <c r="E110" s="29"/>
      <c r="F110" s="29"/>
      <c r="G110" s="17" t="s">
        <v>88</v>
      </c>
      <c r="H110" s="17" t="s">
        <v>171</v>
      </c>
      <c r="I110" s="18">
        <f>27300</f>
        <v>27300</v>
      </c>
      <c r="J110" s="50" t="s">
        <v>46</v>
      </c>
      <c r="K110" s="50"/>
      <c r="L110" s="50"/>
      <c r="M110" s="50"/>
      <c r="N110" s="49">
        <f>27300</f>
        <v>27300</v>
      </c>
      <c r="O110" s="49"/>
    </row>
    <row r="111" spans="1:15" s="1" customFormat="1" ht="24" customHeight="1">
      <c r="A111" s="29" t="s">
        <v>115</v>
      </c>
      <c r="B111" s="29"/>
      <c r="C111" s="29"/>
      <c r="D111" s="29"/>
      <c r="E111" s="29"/>
      <c r="F111" s="29"/>
      <c r="G111" s="17" t="s">
        <v>88</v>
      </c>
      <c r="H111" s="17" t="s">
        <v>172</v>
      </c>
      <c r="I111" s="18">
        <f>8200</f>
        <v>8200</v>
      </c>
      <c r="J111" s="50" t="s">
        <v>46</v>
      </c>
      <c r="K111" s="50"/>
      <c r="L111" s="50"/>
      <c r="M111" s="50"/>
      <c r="N111" s="49">
        <f>8200</f>
        <v>8200</v>
      </c>
      <c r="O111" s="49"/>
    </row>
    <row r="112" spans="1:15" s="1" customFormat="1" ht="24" customHeight="1">
      <c r="A112" s="29" t="s">
        <v>101</v>
      </c>
      <c r="B112" s="29"/>
      <c r="C112" s="29"/>
      <c r="D112" s="29"/>
      <c r="E112" s="29"/>
      <c r="F112" s="29"/>
      <c r="G112" s="17" t="s">
        <v>88</v>
      </c>
      <c r="H112" s="17" t="s">
        <v>173</v>
      </c>
      <c r="I112" s="18">
        <f>365400</f>
        <v>365400</v>
      </c>
      <c r="J112" s="30">
        <f>47159.26</f>
        <v>47159.26</v>
      </c>
      <c r="K112" s="30"/>
      <c r="L112" s="30"/>
      <c r="M112" s="30"/>
      <c r="N112" s="49">
        <f>318240.74</f>
        <v>318240.74</v>
      </c>
      <c r="O112" s="49"/>
    </row>
    <row r="113" spans="1:15" s="1" customFormat="1" ht="24" customHeight="1">
      <c r="A113" s="29" t="s">
        <v>174</v>
      </c>
      <c r="B113" s="29"/>
      <c r="C113" s="29"/>
      <c r="D113" s="29"/>
      <c r="E113" s="29"/>
      <c r="F113" s="29"/>
      <c r="G113" s="17" t="s">
        <v>88</v>
      </c>
      <c r="H113" s="17" t="s">
        <v>175</v>
      </c>
      <c r="I113" s="18">
        <f>180000</f>
        <v>180000</v>
      </c>
      <c r="J113" s="30">
        <f>15000</f>
        <v>15000</v>
      </c>
      <c r="K113" s="30"/>
      <c r="L113" s="30"/>
      <c r="M113" s="30"/>
      <c r="N113" s="49">
        <f>165000</f>
        <v>165000</v>
      </c>
      <c r="O113" s="49"/>
    </row>
    <row r="114" spans="1:15" s="1" customFormat="1" ht="24" customHeight="1">
      <c r="A114" s="29" t="s">
        <v>101</v>
      </c>
      <c r="B114" s="29"/>
      <c r="C114" s="29"/>
      <c r="D114" s="29"/>
      <c r="E114" s="29"/>
      <c r="F114" s="29"/>
      <c r="G114" s="17" t="s">
        <v>88</v>
      </c>
      <c r="H114" s="17" t="s">
        <v>176</v>
      </c>
      <c r="I114" s="18">
        <f>22600</f>
        <v>22600</v>
      </c>
      <c r="J114" s="50" t="s">
        <v>46</v>
      </c>
      <c r="K114" s="50"/>
      <c r="L114" s="50"/>
      <c r="M114" s="50"/>
      <c r="N114" s="49">
        <f>22600</f>
        <v>22600</v>
      </c>
      <c r="O114" s="49"/>
    </row>
    <row r="115" spans="1:15" s="1" customFormat="1" ht="24" customHeight="1">
      <c r="A115" s="29" t="s">
        <v>101</v>
      </c>
      <c r="B115" s="29"/>
      <c r="C115" s="29"/>
      <c r="D115" s="29"/>
      <c r="E115" s="29"/>
      <c r="F115" s="29"/>
      <c r="G115" s="17" t="s">
        <v>88</v>
      </c>
      <c r="H115" s="17" t="s">
        <v>177</v>
      </c>
      <c r="I115" s="18">
        <f>5900</f>
        <v>5900</v>
      </c>
      <c r="J115" s="30">
        <f>1000</f>
        <v>1000</v>
      </c>
      <c r="K115" s="30"/>
      <c r="L115" s="30"/>
      <c r="M115" s="30"/>
      <c r="N115" s="49">
        <f>4900</f>
        <v>4900</v>
      </c>
      <c r="O115" s="49"/>
    </row>
    <row r="116" spans="1:15" s="1" customFormat="1" ht="24" customHeight="1">
      <c r="A116" s="29" t="s">
        <v>101</v>
      </c>
      <c r="B116" s="29"/>
      <c r="C116" s="29"/>
      <c r="D116" s="29"/>
      <c r="E116" s="29"/>
      <c r="F116" s="29"/>
      <c r="G116" s="17" t="s">
        <v>88</v>
      </c>
      <c r="H116" s="17" t="s">
        <v>178</v>
      </c>
      <c r="I116" s="18">
        <f>25000</f>
        <v>25000</v>
      </c>
      <c r="J116" s="30">
        <f>283.2</f>
        <v>283.2</v>
      </c>
      <c r="K116" s="30"/>
      <c r="L116" s="30"/>
      <c r="M116" s="30"/>
      <c r="N116" s="49">
        <f>24716.8</f>
        <v>24716.8</v>
      </c>
      <c r="O116" s="49"/>
    </row>
    <row r="117" spans="1:15" s="1" customFormat="1" ht="15" customHeight="1">
      <c r="A117" s="51" t="s">
        <v>179</v>
      </c>
      <c r="B117" s="51"/>
      <c r="C117" s="51"/>
      <c r="D117" s="51"/>
      <c r="E117" s="51"/>
      <c r="F117" s="51"/>
      <c r="G117" s="19" t="s">
        <v>180</v>
      </c>
      <c r="H117" s="19" t="s">
        <v>37</v>
      </c>
      <c r="I117" s="20">
        <f>-3949922.82</f>
        <v>-3949922.82</v>
      </c>
      <c r="J117" s="52">
        <f>2271775.65</f>
        <v>2271775.65</v>
      </c>
      <c r="K117" s="52"/>
      <c r="L117" s="52"/>
      <c r="M117" s="52"/>
      <c r="N117" s="53" t="s">
        <v>37</v>
      </c>
      <c r="O117" s="53"/>
    </row>
    <row r="118" spans="1:15" s="1" customFormat="1" ht="13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s="1" customFormat="1" ht="13.5" customHeight="1">
      <c r="A119" s="35" t="s">
        <v>181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s="1" customFormat="1" ht="45.75" customHeight="1">
      <c r="A120" s="36" t="s">
        <v>23</v>
      </c>
      <c r="B120" s="36"/>
      <c r="C120" s="36"/>
      <c r="D120" s="36"/>
      <c r="E120" s="36"/>
      <c r="F120" s="36"/>
      <c r="G120" s="8" t="s">
        <v>24</v>
      </c>
      <c r="H120" s="8" t="s">
        <v>182</v>
      </c>
      <c r="I120" s="9" t="s">
        <v>26</v>
      </c>
      <c r="J120" s="37" t="s">
        <v>27</v>
      </c>
      <c r="K120" s="37"/>
      <c r="L120" s="37"/>
      <c r="M120" s="37"/>
      <c r="N120" s="38" t="s">
        <v>28</v>
      </c>
      <c r="O120" s="38"/>
    </row>
    <row r="121" spans="1:15" s="1" customFormat="1" ht="12.75" customHeight="1">
      <c r="A121" s="39" t="s">
        <v>29</v>
      </c>
      <c r="B121" s="39"/>
      <c r="C121" s="39"/>
      <c r="D121" s="39"/>
      <c r="E121" s="39"/>
      <c r="F121" s="39"/>
      <c r="G121" s="10" t="s">
        <v>30</v>
      </c>
      <c r="H121" s="10" t="s">
        <v>31</v>
      </c>
      <c r="I121" s="11" t="s">
        <v>32</v>
      </c>
      <c r="J121" s="40" t="s">
        <v>33</v>
      </c>
      <c r="K121" s="40"/>
      <c r="L121" s="40"/>
      <c r="M121" s="40"/>
      <c r="N121" s="41" t="s">
        <v>34</v>
      </c>
      <c r="O121" s="41"/>
    </row>
    <row r="122" spans="1:15" s="1" customFormat="1" ht="13.5" customHeight="1">
      <c r="A122" s="42" t="s">
        <v>183</v>
      </c>
      <c r="B122" s="42"/>
      <c r="C122" s="42"/>
      <c r="D122" s="42"/>
      <c r="E122" s="42"/>
      <c r="F122" s="42"/>
      <c r="G122" s="12" t="s">
        <v>184</v>
      </c>
      <c r="H122" s="12" t="s">
        <v>37</v>
      </c>
      <c r="I122" s="21">
        <f>3949922.82</f>
        <v>3949922.82</v>
      </c>
      <c r="J122" s="43">
        <f>-2271775.65</f>
        <v>-2271775.65</v>
      </c>
      <c r="K122" s="43"/>
      <c r="L122" s="43"/>
      <c r="M122" s="43"/>
      <c r="N122" s="54">
        <f>6221698.47</f>
        <v>6221698.47</v>
      </c>
      <c r="O122" s="54"/>
    </row>
    <row r="123" spans="1:15" s="1" customFormat="1" ht="13.5" customHeight="1">
      <c r="A123" s="55" t="s">
        <v>185</v>
      </c>
      <c r="B123" s="55"/>
      <c r="C123" s="55"/>
      <c r="D123" s="55"/>
      <c r="E123" s="55"/>
      <c r="F123" s="55"/>
      <c r="G123" s="22"/>
      <c r="H123" s="22"/>
      <c r="I123" s="23"/>
      <c r="J123" s="56"/>
      <c r="K123" s="56"/>
      <c r="L123" s="56"/>
      <c r="M123" s="56"/>
      <c r="N123" s="57"/>
      <c r="O123" s="57"/>
    </row>
    <row r="124" spans="1:15" s="1" customFormat="1" ht="13.5" customHeight="1">
      <c r="A124" s="45" t="s">
        <v>186</v>
      </c>
      <c r="B124" s="45"/>
      <c r="C124" s="45"/>
      <c r="D124" s="45"/>
      <c r="E124" s="45"/>
      <c r="F124" s="45"/>
      <c r="G124" s="24" t="s">
        <v>187</v>
      </c>
      <c r="H124" s="14" t="s">
        <v>37</v>
      </c>
      <c r="I124" s="25" t="s">
        <v>46</v>
      </c>
      <c r="J124" s="48" t="s">
        <v>46</v>
      </c>
      <c r="K124" s="48"/>
      <c r="L124" s="48"/>
      <c r="M124" s="48"/>
      <c r="N124" s="58" t="s">
        <v>46</v>
      </c>
      <c r="O124" s="58"/>
    </row>
    <row r="125" spans="1:15" s="1" customFormat="1" ht="13.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1:15" s="1" customFormat="1" ht="13.5" customHeight="1">
      <c r="A126" s="29" t="s">
        <v>188</v>
      </c>
      <c r="B126" s="29"/>
      <c r="C126" s="29"/>
      <c r="D126" s="29"/>
      <c r="E126" s="29"/>
      <c r="F126" s="29"/>
      <c r="G126" s="22" t="s">
        <v>189</v>
      </c>
      <c r="H126" s="22" t="s">
        <v>37</v>
      </c>
      <c r="I126" s="23" t="s">
        <v>46</v>
      </c>
      <c r="J126" s="50" t="s">
        <v>46</v>
      </c>
      <c r="K126" s="50"/>
      <c r="L126" s="50"/>
      <c r="M126" s="50"/>
      <c r="N126" s="57" t="s">
        <v>46</v>
      </c>
      <c r="O126" s="57"/>
    </row>
    <row r="127" spans="1:15" s="1" customFormat="1" ht="13.5" customHeight="1">
      <c r="A127" s="29"/>
      <c r="B127" s="29"/>
      <c r="C127" s="29"/>
      <c r="D127" s="29"/>
      <c r="E127" s="29"/>
      <c r="F127" s="29"/>
      <c r="G127" s="17" t="s">
        <v>189</v>
      </c>
      <c r="H127" s="17"/>
      <c r="I127" s="26" t="s">
        <v>46</v>
      </c>
      <c r="J127" s="50" t="s">
        <v>46</v>
      </c>
      <c r="K127" s="50"/>
      <c r="L127" s="50"/>
      <c r="M127" s="50"/>
      <c r="N127" s="60" t="s">
        <v>46</v>
      </c>
      <c r="O127" s="60"/>
    </row>
    <row r="128" spans="1:15" s="1" customFormat="1" ht="13.5" customHeight="1">
      <c r="A128" s="29" t="s">
        <v>190</v>
      </c>
      <c r="B128" s="29"/>
      <c r="C128" s="29"/>
      <c r="D128" s="29"/>
      <c r="E128" s="29"/>
      <c r="F128" s="29"/>
      <c r="G128" s="17" t="s">
        <v>191</v>
      </c>
      <c r="H128" s="17" t="s">
        <v>192</v>
      </c>
      <c r="I128" s="27">
        <f>3949922.82</f>
        <v>3949922.82</v>
      </c>
      <c r="J128" s="30">
        <f>-2271775.65</f>
        <v>-2271775.65</v>
      </c>
      <c r="K128" s="30"/>
      <c r="L128" s="30"/>
      <c r="M128" s="30"/>
      <c r="N128" s="61">
        <f>6221698.47</f>
        <v>6221698.47</v>
      </c>
      <c r="O128" s="61"/>
    </row>
    <row r="129" spans="1:15" s="1" customFormat="1" ht="13.5" customHeight="1">
      <c r="A129" s="29" t="s">
        <v>193</v>
      </c>
      <c r="B129" s="29"/>
      <c r="C129" s="29"/>
      <c r="D129" s="29"/>
      <c r="E129" s="29"/>
      <c r="F129" s="29"/>
      <c r="G129" s="17" t="s">
        <v>194</v>
      </c>
      <c r="H129" s="17" t="s">
        <v>200</v>
      </c>
      <c r="I129" s="27">
        <f>-69199423</f>
        <v>-69199423</v>
      </c>
      <c r="J129" s="30">
        <f>-7372393.14</f>
        <v>-7372393.14</v>
      </c>
      <c r="K129" s="30"/>
      <c r="L129" s="30"/>
      <c r="M129" s="30"/>
      <c r="N129" s="62" t="s">
        <v>37</v>
      </c>
      <c r="O129" s="62"/>
    </row>
    <row r="130" spans="1:15" s="1" customFormat="1" ht="13.5" customHeight="1">
      <c r="A130" s="29" t="s">
        <v>195</v>
      </c>
      <c r="B130" s="29"/>
      <c r="C130" s="29"/>
      <c r="D130" s="29"/>
      <c r="E130" s="29"/>
      <c r="F130" s="29"/>
      <c r="G130" s="17" t="s">
        <v>196</v>
      </c>
      <c r="H130" s="17" t="s">
        <v>197</v>
      </c>
      <c r="I130" s="27">
        <f>73149345.82</f>
        <v>73149345.82</v>
      </c>
      <c r="J130" s="30">
        <f>5100617.49</f>
        <v>5100617.49</v>
      </c>
      <c r="K130" s="30"/>
      <c r="L130" s="30"/>
      <c r="M130" s="30"/>
      <c r="N130" s="62" t="s">
        <v>37</v>
      </c>
      <c r="O130" s="62"/>
    </row>
    <row r="131" spans="1:15" s="1" customFormat="1" ht="13.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</row>
    <row r="132" spans="1:15" s="1" customFormat="1" ht="15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s="1" customFormat="1" ht="13.5" customHeight="1">
      <c r="A133" s="64" t="s">
        <v>198</v>
      </c>
      <c r="B133" s="64"/>
      <c r="C133" s="64"/>
      <c r="D133" s="64"/>
      <c r="E133" s="64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s="1" customFormat="1" ht="13.5" customHeight="1">
      <c r="A134" s="32" t="s">
        <v>199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</sheetData>
  <sheetProtection selectLockedCells="1" selectUnlockedCells="1"/>
  <mergeCells count="374">
    <mergeCell ref="A134:O134"/>
    <mergeCell ref="A131:O131"/>
    <mergeCell ref="A132:O132"/>
    <mergeCell ref="A133:E133"/>
    <mergeCell ref="F133:O133"/>
    <mergeCell ref="A129:F129"/>
    <mergeCell ref="J129:M129"/>
    <mergeCell ref="N129:O129"/>
    <mergeCell ref="A130:F130"/>
    <mergeCell ref="J130:M130"/>
    <mergeCell ref="N130:O130"/>
    <mergeCell ref="A127:F127"/>
    <mergeCell ref="J127:M127"/>
    <mergeCell ref="N127:O127"/>
    <mergeCell ref="A128:F128"/>
    <mergeCell ref="J128:M128"/>
    <mergeCell ref="N128:O128"/>
    <mergeCell ref="A125:O125"/>
    <mergeCell ref="A126:F126"/>
    <mergeCell ref="J126:M126"/>
    <mergeCell ref="N126:O126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9:O119"/>
    <mergeCell ref="A120:F120"/>
    <mergeCell ref="J120:M120"/>
    <mergeCell ref="N120:O120"/>
    <mergeCell ref="A117:F117"/>
    <mergeCell ref="J117:M117"/>
    <mergeCell ref="N117:O117"/>
    <mergeCell ref="A118:O118"/>
    <mergeCell ref="A115:F115"/>
    <mergeCell ref="J115:M115"/>
    <mergeCell ref="N115:O115"/>
    <mergeCell ref="A116:F116"/>
    <mergeCell ref="J116:M116"/>
    <mergeCell ref="N116:O116"/>
    <mergeCell ref="A113:F113"/>
    <mergeCell ref="J113:M113"/>
    <mergeCell ref="N113:O113"/>
    <mergeCell ref="A114:F114"/>
    <mergeCell ref="J114:M114"/>
    <mergeCell ref="N114:O114"/>
    <mergeCell ref="A111:F111"/>
    <mergeCell ref="J111:M111"/>
    <mergeCell ref="N111:O111"/>
    <mergeCell ref="A112:F112"/>
    <mergeCell ref="J112:M112"/>
    <mergeCell ref="N112:O112"/>
    <mergeCell ref="A109:F109"/>
    <mergeCell ref="J109:M109"/>
    <mergeCell ref="N109:O109"/>
    <mergeCell ref="A110:F110"/>
    <mergeCell ref="J110:M110"/>
    <mergeCell ref="N110:O110"/>
    <mergeCell ref="A107:F107"/>
    <mergeCell ref="J107:M107"/>
    <mergeCell ref="N107:O107"/>
    <mergeCell ref="A108:F108"/>
    <mergeCell ref="J108:M108"/>
    <mergeCell ref="N108:O108"/>
    <mergeCell ref="A105:F105"/>
    <mergeCell ref="J105:M105"/>
    <mergeCell ref="N105:O105"/>
    <mergeCell ref="A106:F106"/>
    <mergeCell ref="J106:M106"/>
    <mergeCell ref="N106:O106"/>
    <mergeCell ref="A103:F103"/>
    <mergeCell ref="J103:M103"/>
    <mergeCell ref="N103:O103"/>
    <mergeCell ref="A104:F104"/>
    <mergeCell ref="J104:M104"/>
    <mergeCell ref="N104:O104"/>
    <mergeCell ref="A101:F101"/>
    <mergeCell ref="J101:M101"/>
    <mergeCell ref="N101:O101"/>
    <mergeCell ref="A102:F102"/>
    <mergeCell ref="J102:M102"/>
    <mergeCell ref="N102:O102"/>
    <mergeCell ref="A99:F99"/>
    <mergeCell ref="J99:M99"/>
    <mergeCell ref="N99:O99"/>
    <mergeCell ref="A100:F100"/>
    <mergeCell ref="J100:M100"/>
    <mergeCell ref="N100:O100"/>
    <mergeCell ref="A97:F97"/>
    <mergeCell ref="J97:M97"/>
    <mergeCell ref="N97:O97"/>
    <mergeCell ref="A98:F98"/>
    <mergeCell ref="J98:M98"/>
    <mergeCell ref="N98:O98"/>
    <mergeCell ref="A95:F95"/>
    <mergeCell ref="J95:M95"/>
    <mergeCell ref="N95:O95"/>
    <mergeCell ref="A96:F96"/>
    <mergeCell ref="J96:M96"/>
    <mergeCell ref="N96:O96"/>
    <mergeCell ref="A93:F93"/>
    <mergeCell ref="J93:M93"/>
    <mergeCell ref="N93:O93"/>
    <mergeCell ref="A94:F94"/>
    <mergeCell ref="J94:M94"/>
    <mergeCell ref="N94:O94"/>
    <mergeCell ref="A91:F91"/>
    <mergeCell ref="J91:M91"/>
    <mergeCell ref="N91:O91"/>
    <mergeCell ref="A92:F92"/>
    <mergeCell ref="J92:M92"/>
    <mergeCell ref="N92:O92"/>
    <mergeCell ref="A89:F89"/>
    <mergeCell ref="J89:M89"/>
    <mergeCell ref="N89:O89"/>
    <mergeCell ref="A90:F90"/>
    <mergeCell ref="J90:M90"/>
    <mergeCell ref="N90:O90"/>
    <mergeCell ref="A87:F87"/>
    <mergeCell ref="J87:M87"/>
    <mergeCell ref="N87:O87"/>
    <mergeCell ref="A88:F88"/>
    <mergeCell ref="J88:M88"/>
    <mergeCell ref="N88:O88"/>
    <mergeCell ref="A85:F85"/>
    <mergeCell ref="J85:M85"/>
    <mergeCell ref="N85:O85"/>
    <mergeCell ref="A86:F86"/>
    <mergeCell ref="J86:M86"/>
    <mergeCell ref="N86:O86"/>
    <mergeCell ref="A83:F83"/>
    <mergeCell ref="J83:M83"/>
    <mergeCell ref="N83:O83"/>
    <mergeCell ref="A84:F84"/>
    <mergeCell ref="J84:M84"/>
    <mergeCell ref="N84:O84"/>
    <mergeCell ref="A81:F81"/>
    <mergeCell ref="J81:M81"/>
    <mergeCell ref="N81:O81"/>
    <mergeCell ref="A82:F82"/>
    <mergeCell ref="J82:M82"/>
    <mergeCell ref="N82:O82"/>
    <mergeCell ref="A79:F79"/>
    <mergeCell ref="J79:M79"/>
    <mergeCell ref="N79:O79"/>
    <mergeCell ref="A80:F80"/>
    <mergeCell ref="J80:M80"/>
    <mergeCell ref="N80:O80"/>
    <mergeCell ref="A77:F77"/>
    <mergeCell ref="J77:M77"/>
    <mergeCell ref="N77:O77"/>
    <mergeCell ref="A78:F78"/>
    <mergeCell ref="J78:M78"/>
    <mergeCell ref="N78:O78"/>
    <mergeCell ref="A75:F75"/>
    <mergeCell ref="J75:M75"/>
    <mergeCell ref="N75:O75"/>
    <mergeCell ref="A76:F76"/>
    <mergeCell ref="J76:M76"/>
    <mergeCell ref="N76:O76"/>
    <mergeCell ref="A73:F73"/>
    <mergeCell ref="J73:M73"/>
    <mergeCell ref="N73:O73"/>
    <mergeCell ref="A74:F74"/>
    <mergeCell ref="J74:M74"/>
    <mergeCell ref="N74:O74"/>
    <mergeCell ref="A71:F71"/>
    <mergeCell ref="J71:M71"/>
    <mergeCell ref="N71:O71"/>
    <mergeCell ref="A72:F72"/>
    <mergeCell ref="J72:M72"/>
    <mergeCell ref="N72:O72"/>
    <mergeCell ref="A69:F69"/>
    <mergeCell ref="J69:M69"/>
    <mergeCell ref="N69:O69"/>
    <mergeCell ref="A70:F70"/>
    <mergeCell ref="J70:M70"/>
    <mergeCell ref="N70:O70"/>
    <mergeCell ref="A67:F67"/>
    <mergeCell ref="J67:M67"/>
    <mergeCell ref="N67:O67"/>
    <mergeCell ref="A68:F68"/>
    <mergeCell ref="J68:M68"/>
    <mergeCell ref="N68:O68"/>
    <mergeCell ref="A65:F65"/>
    <mergeCell ref="J65:M65"/>
    <mergeCell ref="N65:O65"/>
    <mergeCell ref="A66:F66"/>
    <mergeCell ref="J66:M66"/>
    <mergeCell ref="N66:O66"/>
    <mergeCell ref="A63:F63"/>
    <mergeCell ref="J63:M63"/>
    <mergeCell ref="N63:O63"/>
    <mergeCell ref="A64:F64"/>
    <mergeCell ref="J64:M64"/>
    <mergeCell ref="N64:O64"/>
    <mergeCell ref="A61:F61"/>
    <mergeCell ref="J61:M61"/>
    <mergeCell ref="N61:O61"/>
    <mergeCell ref="A62:F62"/>
    <mergeCell ref="J62:M62"/>
    <mergeCell ref="N62:O62"/>
    <mergeCell ref="A59:F59"/>
    <mergeCell ref="J59:M59"/>
    <mergeCell ref="N59:O59"/>
    <mergeCell ref="A60:F60"/>
    <mergeCell ref="J60:M60"/>
    <mergeCell ref="N60:O60"/>
    <mergeCell ref="A57:F57"/>
    <mergeCell ref="J57:M57"/>
    <mergeCell ref="N57:O57"/>
    <mergeCell ref="A58:F58"/>
    <mergeCell ref="J58:M58"/>
    <mergeCell ref="N58:O58"/>
    <mergeCell ref="A55:F55"/>
    <mergeCell ref="J55:M55"/>
    <mergeCell ref="N55:O55"/>
    <mergeCell ref="A56:F56"/>
    <mergeCell ref="J56:M56"/>
    <mergeCell ref="N56:O56"/>
    <mergeCell ref="A53:F53"/>
    <mergeCell ref="J53:M53"/>
    <mergeCell ref="N53:O53"/>
    <mergeCell ref="A54:F54"/>
    <mergeCell ref="J54:M54"/>
    <mergeCell ref="N54:O54"/>
    <mergeCell ref="A51:F51"/>
    <mergeCell ref="J51:M51"/>
    <mergeCell ref="N51:O51"/>
    <mergeCell ref="A52:F52"/>
    <mergeCell ref="J52:M52"/>
    <mergeCell ref="N52:O52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5:F45"/>
    <mergeCell ref="J45:M45"/>
    <mergeCell ref="N45:O45"/>
    <mergeCell ref="A46:F46"/>
    <mergeCell ref="J46:M46"/>
    <mergeCell ref="N46:O46"/>
    <mergeCell ref="A43:F43"/>
    <mergeCell ref="J43:M43"/>
    <mergeCell ref="N43:O43"/>
    <mergeCell ref="A44:F44"/>
    <mergeCell ref="J44:M44"/>
    <mergeCell ref="N44:O44"/>
    <mergeCell ref="A41:F41"/>
    <mergeCell ref="J41:M41"/>
    <mergeCell ref="N41:O41"/>
    <mergeCell ref="A42:F42"/>
    <mergeCell ref="J42:M42"/>
    <mergeCell ref="N42:O42"/>
    <mergeCell ref="A39:F39"/>
    <mergeCell ref="J39:M39"/>
    <mergeCell ref="N39:O39"/>
    <mergeCell ref="A40:F40"/>
    <mergeCell ref="J40:M40"/>
    <mergeCell ref="N40:O40"/>
    <mergeCell ref="A36:O36"/>
    <mergeCell ref="A37:O37"/>
    <mergeCell ref="A38:F38"/>
    <mergeCell ref="J38:M38"/>
    <mergeCell ref="N38:O38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5" right="0" top="0.39375" bottom="0.5" header="0.5118055555555555" footer="0.5"/>
  <pageSetup horizontalDpi="300" verticalDpi="300" orientation="landscape" paperSize="9" scale="85" r:id="rId1"/>
  <rowBreaks count="2" manualBreakCount="2">
    <brk id="36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2016-03-01T08:33:21Z</cp:lastPrinted>
  <dcterms:modified xsi:type="dcterms:W3CDTF">2016-03-23T05:09:42Z</dcterms:modified>
  <cp:category/>
  <cp:version/>
  <cp:contentType/>
  <cp:contentStatus/>
</cp:coreProperties>
</file>