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<sst xmlns="http://schemas.openxmlformats.org/spreadsheetml/2006/main" count="644" uniqueCount="224">
  <si>
    <t>ОТЧЕТ ОБ ИСПОЛНЕНИИ БЮДЖЕТА</t>
  </si>
  <si>
    <t>КОДЫ</t>
  </si>
  <si>
    <t xml:space="preserve">Форма по ОКУД </t>
  </si>
  <si>
    <t>0503117</t>
  </si>
  <si>
    <t>на 1 декабря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</si>
  <si>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</si>
  <si>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</si>
  <si>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</si>
  <si>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</si>
  <si>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</si>
  <si>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</si>
  <si>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</si>
  <si>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</si>
  <si>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</si>
  <si>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</si>
  <si>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</si>
  <si>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</si>
  <si>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</si>
  <si>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</si>
  <si>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</si>
  <si>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</si>
  <si>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</si>
  <si>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</si>
  <si>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</si>
  <si>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</si>
  <si>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</si>
  <si>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</si>
  <si>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</si>
  <si>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</si>
  <si>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</si>
  <si>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</si>
  <si>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</si>
  <si>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</si>
  <si>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</si>
  <si>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</si>
  <si>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</si>
  <si>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</si>
  <si>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</si>
  <si>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</si>
  <si>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</si>
  <si>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</si>
  <si>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</si>
  <si>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</si>
  <si>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</si>
  <si>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</si>
  <si>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</si>
  <si>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</si>
  <si>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</si>
  <si>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</si>
  <si>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</si>
  <si>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</si>
  <si>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</si>
  <si>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</si>
  <si>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</si>
  <si>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</si>
  <si>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</si>
  <si>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</si>
  <si>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</si>
  <si>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</si>
  <si>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</si>
  <si>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</si>
  <si>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</si>
  <si>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</si>
  <si>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</si>
  <si>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</si>
  <si>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</si>
  <si>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</si>
  <si>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</si>
  <si>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</si>
  <si>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</si>
  <si>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</si>
  <si>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</si>
  <si>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</si>
  <si>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</si>
  <si>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</si>
  <si>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</si>
  <si>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</si>
  <si>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</si>
  <si>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</si>
  <si>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</si>
  <si>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</si>
  <si>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</si>
  <si>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</si>
  <si>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</si>
  <si>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</si>
  <si>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</si>
  <si>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</si>
  <si>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</si>
  <si>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</si>
  <si>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</si>
  <si>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</si>
  <si>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</si>
  <si>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</si>
  <si>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</si>
  <si>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</si>
  <si>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</si>
  <si>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</si>
  <si>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</si>
  <si>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</si>
  <si>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</si>
  <si>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</si>
  <si>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</si>
  <si>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</si>
  <si>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</si>
  <si>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</si>
  <si>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</si>
  <si>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</si>
  <si>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</si>
  <si>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</si>
  <si>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</si>
  <si>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</si>
  <si>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</si>
  <si>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</si>
  <si>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650 0113 0131102400 244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</si>
  <si>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</si>
  <si>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</si>
  <si>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</si>
  <si>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</si>
  <si>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</si>
  <si>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</si>
  <si>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</si>
  <si>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</si>
  <si>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</si>
  <si>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</si>
  <si>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</si>
  <si>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</si>
  <si>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</si>
  <si>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</si>
  <si>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</si>
  <si>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</si>
  <si>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</si>
  <si>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</si>
  <si>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</si>
  <si>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</si>
  <si>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</si>
  <si>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650 0113 6000000590 852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</si>
  <si>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</si>
  <si>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</si>
  <si>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</si>
  <si>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</si>
  <si>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</si>
  <si>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</si>
  <si>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</si>
  <si>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</si>
  <si>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</si>
  <si>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</si>
  <si>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</si>
  <si>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</si>
  <si>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</si>
  <si>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</si>
  <si>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</si>
  <si>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</si>
  <si>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</si>
  <si>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</si>
  <si>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</si>
  <si>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</si>
  <si>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</si>
  <si>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</si>
  <si>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</si>
  <si>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</si>
  <si>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650 0501 6000003550 831</t>
  </si>
  <si>
    <t>650 0502 6000003510 810</t>
  </si>
  <si>
    <t>650 0502 6000070010 540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</si>
  <si>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</si>
  <si>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</si>
  <si>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</si>
  <si>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</si>
  <si>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</si>
  <si>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</si>
  <si>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</si>
  <si>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</si>
  <si>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</si>
  <si>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</si>
  <si>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</si>
  <si>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</si>
  <si>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</si>
  <si>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</si>
  <si>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</si>
  <si>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</si>
  <si>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</si>
  <si>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650 0801 0611485160 244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</si>
  <si>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</si>
  <si>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</si>
  <si>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</si>
  <si>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</si>
  <si>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</si>
  <si>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</si>
  <si>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</si>
  <si>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</si>
  <si>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</si>
  <si>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</si>
  <si>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</si>
  <si>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650 0801 0611682430 244</t>
  </si>
  <si>
    <t>650 0801 06116S2430 244</t>
  </si>
  <si>
    <t>650 0801 0612174060 244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</si>
  <si>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</si>
  <si>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</si>
  <si>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</si>
  <si>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</si>
  <si>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</si>
  <si>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</si>
  <si>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</si>
  <si>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</si>
  <si>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</si>
  <si>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</si>
  <si>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</si>
  <si>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</si>
  <si>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</si>
  <si>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</si>
  <si>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</si>
  <si>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</si>
  <si>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</si>
  <si>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</si>
  <si>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</si>
  <si>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</si>
  <si>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</si>
  <si>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</si>
  <si>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</si>
  <si>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</si>
  <si>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</si>
  <si>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650 01050201 13 0000 610</t>
  </si>
  <si>
    <t xml:space="preserve">   1 декабря 2016 г.   </t>
  </si>
  <si>
    <t>Форма 0503117 с.1</t>
  </si>
  <si>
    <t>000 01050201 13 0000 510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</si>
</sst>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0" fontId="3" fillId="33" borderId="22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0" fontId="3" fillId="33" borderId="32" xfId="0" applyNumberFormat="1" applyFont="1" applyFill="1" applyBorder="1" applyAlignment="1">
      <alignment horizontal="left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right" vertical="center" wrapText="1"/>
    </xf>
    <xf numFmtId="0" fontId="3" fillId="33" borderId="35" xfId="0" applyNumberFormat="1" applyFont="1" applyFill="1" applyBorder="1" applyAlignment="1">
      <alignment horizontal="right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right" vertical="center" wrapText="1"/>
    </xf>
    <xf numFmtId="0" fontId="3" fillId="33" borderId="38" xfId="0" applyNumberFormat="1" applyFont="1" applyFill="1" applyBorder="1" applyAlignment="1">
      <alignment horizontal="right" vertical="center" wrapText="1"/>
    </xf>
    <xf numFmtId="0" fontId="3" fillId="33" borderId="39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4" fontId="3" fillId="33" borderId="40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2"/>
  <sheetViews>
    <sheetView tabSelected="1" zoomScalePageLayoutView="0" workbookViewId="0" topLeftCell="A145">
      <selection activeCell="F171" sqref="F171:U171"/>
    </sheetView>
  </sheetViews>
  <sheetFormatPr defaultColWidth="11.5742187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42705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5" t="s">
        <v>9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10</v>
      </c>
      <c r="R5" s="9"/>
      <c r="S5" s="9"/>
      <c r="T5" s="9"/>
      <c r="U5" s="5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5" t="s">
        <v>15</v>
      </c>
    </row>
    <row r="7" spans="1:21" s="1" customFormat="1" ht="13.5" customHeight="1">
      <c r="A7" s="6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79992796.56</f>
        <v>79992796.56</v>
      </c>
      <c r="M12" s="21"/>
      <c r="N12" s="21">
        <f>75877433.94</f>
        <v>75877433.94</v>
      </c>
      <c r="O12" s="21"/>
      <c r="P12" s="21"/>
      <c r="Q12" s="21"/>
      <c r="R12" s="21"/>
      <c r="S12" s="22">
        <f>4115362.62</f>
        <v>4115362.62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418000</f>
        <v>418000</v>
      </c>
      <c r="M13" s="25"/>
      <c r="N13" s="25">
        <f>458757.39</f>
        <v>458757.39</v>
      </c>
      <c r="O13" s="25"/>
      <c r="P13" s="25"/>
      <c r="Q13" s="25"/>
      <c r="R13" s="25"/>
      <c r="S13" s="26">
        <f>-40757.39</f>
        <v>-40757.39</v>
      </c>
      <c r="T13" s="26"/>
      <c r="U13" s="26"/>
    </row>
    <row r="14" spans="1:21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32000</f>
        <v>32000</v>
      </c>
      <c r="M14" s="25"/>
      <c r="N14" s="25">
        <f>46571.13</f>
        <v>46571.13</v>
      </c>
      <c r="O14" s="25"/>
      <c r="P14" s="25"/>
      <c r="Q14" s="25"/>
      <c r="R14" s="25"/>
      <c r="S14" s="26">
        <f>-14571.13</f>
        <v>-14571.13</v>
      </c>
      <c r="T14" s="26"/>
      <c r="U14" s="26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3953000</f>
        <v>3953000</v>
      </c>
      <c r="M15" s="25"/>
      <c r="N15" s="25">
        <f>3835256.47</f>
        <v>3835256.47</v>
      </c>
      <c r="O15" s="25"/>
      <c r="P15" s="25"/>
      <c r="Q15" s="25"/>
      <c r="R15" s="25"/>
      <c r="S15" s="26">
        <f>117743.53</f>
        <v>117743.53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7" t="s">
        <v>46</v>
      </c>
      <c r="M16" s="27"/>
      <c r="N16" s="25">
        <f>100</f>
        <v>100</v>
      </c>
      <c r="O16" s="25"/>
      <c r="P16" s="25"/>
      <c r="Q16" s="25"/>
      <c r="R16" s="25"/>
      <c r="S16" s="26">
        <f>0</f>
        <v>0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7" t="s">
        <v>46</v>
      </c>
      <c r="M17" s="27"/>
      <c r="N17" s="25">
        <f>226149.97</f>
        <v>226149.97</v>
      </c>
      <c r="O17" s="25"/>
      <c r="P17" s="25"/>
      <c r="Q17" s="25"/>
      <c r="R17" s="25"/>
      <c r="S17" s="26">
        <f>0</f>
        <v>0</v>
      </c>
      <c r="T17" s="26"/>
      <c r="U17" s="26"/>
    </row>
    <row r="18" spans="1:21" s="1" customFormat="1" ht="13.5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980000</f>
        <v>980000</v>
      </c>
      <c r="M18" s="25"/>
      <c r="N18" s="25">
        <f>1071001.78</f>
        <v>1071001.78</v>
      </c>
      <c r="O18" s="25"/>
      <c r="P18" s="25"/>
      <c r="Q18" s="25"/>
      <c r="R18" s="25"/>
      <c r="S18" s="26">
        <f>-91001.78</f>
        <v>-91001.78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7" t="s">
        <v>46</v>
      </c>
      <c r="M19" s="27"/>
      <c r="N19" s="25">
        <f>82.26</f>
        <v>82.26</v>
      </c>
      <c r="O19" s="25"/>
      <c r="P19" s="25"/>
      <c r="Q19" s="25"/>
      <c r="R19" s="25"/>
      <c r="S19" s="26">
        <f>0</f>
        <v>0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87211.51</f>
        <v>87211.51</v>
      </c>
      <c r="M20" s="25"/>
      <c r="N20" s="25">
        <f>87453.27</f>
        <v>87453.27</v>
      </c>
      <c r="O20" s="25"/>
      <c r="P20" s="25"/>
      <c r="Q20" s="25"/>
      <c r="R20" s="25"/>
      <c r="S20" s="26">
        <f>-241.76</f>
        <v>-241.76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329000</f>
        <v>329000</v>
      </c>
      <c r="M21" s="25"/>
      <c r="N21" s="25">
        <f>263704.87</f>
        <v>263704.87</v>
      </c>
      <c r="O21" s="25"/>
      <c r="P21" s="25"/>
      <c r="Q21" s="25"/>
      <c r="R21" s="25"/>
      <c r="S21" s="26">
        <f>65295.13</f>
        <v>65295.13</v>
      </c>
      <c r="T21" s="26"/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447000</f>
        <v>447000</v>
      </c>
      <c r="M22" s="25"/>
      <c r="N22" s="25">
        <f>547557.94</f>
        <v>547557.94</v>
      </c>
      <c r="O22" s="25"/>
      <c r="P22" s="25"/>
      <c r="Q22" s="25"/>
      <c r="R22" s="25"/>
      <c r="S22" s="26">
        <f>-100557.94</f>
        <v>-100557.94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115000</f>
        <v>115000</v>
      </c>
      <c r="M23" s="25"/>
      <c r="N23" s="25">
        <f>153579.36</f>
        <v>153579.36</v>
      </c>
      <c r="O23" s="25"/>
      <c r="P23" s="25"/>
      <c r="Q23" s="25"/>
      <c r="R23" s="25"/>
      <c r="S23" s="26">
        <f>-38579.36</f>
        <v>-38579.36</v>
      </c>
      <c r="T23" s="26"/>
      <c r="U23" s="26"/>
    </row>
    <row r="24" spans="1:21" s="1" customFormat="1" ht="4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130000</f>
        <v>130000</v>
      </c>
      <c r="M24" s="25"/>
      <c r="N24" s="25">
        <f>154110</f>
        <v>154110</v>
      </c>
      <c r="O24" s="25"/>
      <c r="P24" s="25"/>
      <c r="Q24" s="25"/>
      <c r="R24" s="25"/>
      <c r="S24" s="26">
        <f>-24110</f>
        <v>-24110</v>
      </c>
      <c r="T24" s="26"/>
      <c r="U24" s="26"/>
    </row>
    <row r="25" spans="1:21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102000</f>
        <v>102000</v>
      </c>
      <c r="M25" s="25"/>
      <c r="N25" s="25">
        <f>66950</f>
        <v>66950</v>
      </c>
      <c r="O25" s="25"/>
      <c r="P25" s="25"/>
      <c r="Q25" s="25"/>
      <c r="R25" s="25"/>
      <c r="S25" s="26">
        <f>35050</f>
        <v>35050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1330500</f>
        <v>1330500</v>
      </c>
      <c r="M26" s="25"/>
      <c r="N26" s="25">
        <f>1218564.57</f>
        <v>1218564.57</v>
      </c>
      <c r="O26" s="25"/>
      <c r="P26" s="25"/>
      <c r="Q26" s="25"/>
      <c r="R26" s="25"/>
      <c r="S26" s="26">
        <f>111935.43</f>
        <v>111935.43</v>
      </c>
      <c r="T26" s="26"/>
      <c r="U26" s="26"/>
    </row>
    <row r="27" spans="1:21" s="1" customFormat="1" ht="45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715000</f>
        <v>715000</v>
      </c>
      <c r="M27" s="25"/>
      <c r="N27" s="25">
        <f>741033.68</f>
        <v>741033.68</v>
      </c>
      <c r="O27" s="25"/>
      <c r="P27" s="25"/>
      <c r="Q27" s="25"/>
      <c r="R27" s="25"/>
      <c r="S27" s="26">
        <f>-26033.68</f>
        <v>-26033.68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410000</f>
        <v>410000</v>
      </c>
      <c r="M28" s="25"/>
      <c r="N28" s="25">
        <f>230654</f>
        <v>230654</v>
      </c>
      <c r="O28" s="25"/>
      <c r="P28" s="25"/>
      <c r="Q28" s="25"/>
      <c r="R28" s="25"/>
      <c r="S28" s="26">
        <f>179346</f>
        <v>179346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150000</f>
        <v>150000</v>
      </c>
      <c r="M29" s="25"/>
      <c r="N29" s="25">
        <f>270512.04</f>
        <v>270512.04</v>
      </c>
      <c r="O29" s="25"/>
      <c r="P29" s="25"/>
      <c r="Q29" s="25"/>
      <c r="R29" s="25"/>
      <c r="S29" s="26">
        <f>-120512.04</f>
        <v>-120512.04</v>
      </c>
      <c r="T29" s="26"/>
      <c r="U29" s="26"/>
    </row>
    <row r="30" spans="1:21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7" t="s">
        <v>46</v>
      </c>
      <c r="M30" s="27"/>
      <c r="N30" s="25">
        <f>203154.67</f>
        <v>203154.67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46</v>
      </c>
      <c r="M31" s="27"/>
      <c r="N31" s="25">
        <f>-32197.98</f>
        <v>-32197.98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30601200</f>
        <v>30601200</v>
      </c>
      <c r="M32" s="25"/>
      <c r="N32" s="25">
        <f>28312781.49</f>
        <v>28312781.49</v>
      </c>
      <c r="O32" s="25"/>
      <c r="P32" s="25"/>
      <c r="Q32" s="25"/>
      <c r="R32" s="25"/>
      <c r="S32" s="26">
        <f>2288418.51</f>
        <v>2288418.51</v>
      </c>
      <c r="T32" s="26"/>
      <c r="U32" s="26"/>
    </row>
    <row r="33" spans="1:21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205071.04</f>
        <v>205071.04</v>
      </c>
      <c r="M33" s="25"/>
      <c r="N33" s="25">
        <f>110000</f>
        <v>110000</v>
      </c>
      <c r="O33" s="25"/>
      <c r="P33" s="25"/>
      <c r="Q33" s="25"/>
      <c r="R33" s="25"/>
      <c r="S33" s="26">
        <f>95071.04</f>
        <v>95071.04</v>
      </c>
      <c r="T33" s="26"/>
      <c r="U33" s="26"/>
    </row>
    <row r="34" spans="1:21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5">
        <f>94300</f>
        <v>94300</v>
      </c>
      <c r="M34" s="25"/>
      <c r="N34" s="25">
        <f>85725</f>
        <v>85725</v>
      </c>
      <c r="O34" s="25"/>
      <c r="P34" s="25"/>
      <c r="Q34" s="25"/>
      <c r="R34" s="25"/>
      <c r="S34" s="26">
        <f>8575</f>
        <v>8575</v>
      </c>
      <c r="T34" s="26"/>
      <c r="U34" s="26"/>
    </row>
    <row r="35" spans="1:21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4" t="s">
        <v>36</v>
      </c>
      <c r="I35" s="24"/>
      <c r="J35" s="24" t="s">
        <v>84</v>
      </c>
      <c r="K35" s="24"/>
      <c r="L35" s="25">
        <f>788000</f>
        <v>788000</v>
      </c>
      <c r="M35" s="25"/>
      <c r="N35" s="25">
        <f>788000</f>
        <v>788000</v>
      </c>
      <c r="O35" s="25"/>
      <c r="P35" s="25"/>
      <c r="Q35" s="25"/>
      <c r="R35" s="25"/>
      <c r="S35" s="26">
        <f>0</f>
        <v>0</v>
      </c>
      <c r="T35" s="26"/>
      <c r="U35" s="26"/>
    </row>
    <row r="36" spans="1:21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4" t="s">
        <v>36</v>
      </c>
      <c r="I36" s="24"/>
      <c r="J36" s="24" t="s">
        <v>86</v>
      </c>
      <c r="K36" s="24"/>
      <c r="L36" s="25">
        <f>39105514.01</f>
        <v>39105514.01</v>
      </c>
      <c r="M36" s="25"/>
      <c r="N36" s="25">
        <f>37037932.03</f>
        <v>37037932.03</v>
      </c>
      <c r="O36" s="25"/>
      <c r="P36" s="25"/>
      <c r="Q36" s="25"/>
      <c r="R36" s="25"/>
      <c r="S36" s="26">
        <f>2067581.98</f>
        <v>2067581.98</v>
      </c>
      <c r="T36" s="26"/>
      <c r="U36" s="26"/>
    </row>
    <row r="37" spans="1:21" s="1" customFormat="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" customFormat="1" ht="13.5" customHeight="1">
      <c r="A38" s="12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23</v>
      </c>
      <c r="B39" s="13"/>
      <c r="C39" s="13"/>
      <c r="D39" s="13"/>
      <c r="E39" s="13"/>
      <c r="F39" s="13"/>
      <c r="G39" s="13" t="s">
        <v>24</v>
      </c>
      <c r="H39" s="13"/>
      <c r="I39" s="13" t="s">
        <v>88</v>
      </c>
      <c r="J39" s="13"/>
      <c r="K39" s="14" t="s">
        <v>89</v>
      </c>
      <c r="L39" s="14"/>
      <c r="M39" s="14" t="s">
        <v>26</v>
      </c>
      <c r="N39" s="14"/>
      <c r="O39" s="14" t="s">
        <v>27</v>
      </c>
      <c r="P39" s="14"/>
      <c r="Q39" s="14"/>
      <c r="R39" s="14"/>
      <c r="S39" s="14"/>
      <c r="T39" s="15" t="s">
        <v>28</v>
      </c>
      <c r="U39" s="15"/>
    </row>
    <row r="40" spans="1:21" s="1" customFormat="1" ht="13.5" customHeight="1">
      <c r="A40" s="16" t="s">
        <v>29</v>
      </c>
      <c r="B40" s="16"/>
      <c r="C40" s="16"/>
      <c r="D40" s="16"/>
      <c r="E40" s="16"/>
      <c r="F40" s="16"/>
      <c r="G40" s="16" t="s">
        <v>30</v>
      </c>
      <c r="H40" s="16"/>
      <c r="I40" s="16" t="s">
        <v>31</v>
      </c>
      <c r="J40" s="16"/>
      <c r="K40" s="17" t="s">
        <v>32</v>
      </c>
      <c r="L40" s="17"/>
      <c r="M40" s="17" t="s">
        <v>33</v>
      </c>
      <c r="N40" s="17"/>
      <c r="O40" s="17" t="s">
        <v>34</v>
      </c>
      <c r="P40" s="17"/>
      <c r="Q40" s="17"/>
      <c r="R40" s="17"/>
      <c r="S40" s="17"/>
      <c r="T40" s="18" t="s">
        <v>90</v>
      </c>
      <c r="U40" s="18"/>
    </row>
    <row r="41" spans="1:21" s="1" customFormat="1" ht="13.5" customHeight="1">
      <c r="A41" s="19" t="s">
        <v>91</v>
      </c>
      <c r="B41" s="19"/>
      <c r="C41" s="19"/>
      <c r="D41" s="19"/>
      <c r="E41" s="19"/>
      <c r="F41" s="19"/>
      <c r="G41" s="20" t="s">
        <v>92</v>
      </c>
      <c r="H41" s="20"/>
      <c r="I41" s="20" t="s">
        <v>37</v>
      </c>
      <c r="J41" s="20"/>
      <c r="K41" s="32" t="s">
        <v>37</v>
      </c>
      <c r="L41" s="32"/>
      <c r="M41" s="21">
        <f>83942719.38</f>
        <v>83942719.38</v>
      </c>
      <c r="N41" s="21"/>
      <c r="O41" s="21">
        <f>74816244.42</f>
        <v>74816244.42</v>
      </c>
      <c r="P41" s="21"/>
      <c r="Q41" s="21"/>
      <c r="R41" s="21"/>
      <c r="S41" s="21"/>
      <c r="T41" s="22">
        <f>9126474.96</f>
        <v>9126474.96</v>
      </c>
      <c r="U41" s="22"/>
    </row>
    <row r="42" spans="1:21" s="1" customFormat="1" ht="13.5" customHeight="1">
      <c r="A42" s="34" t="s">
        <v>93</v>
      </c>
      <c r="B42" s="34"/>
      <c r="C42" s="34"/>
      <c r="D42" s="34"/>
      <c r="E42" s="34"/>
      <c r="F42" s="34"/>
      <c r="G42" s="29" t="s">
        <v>92</v>
      </c>
      <c r="H42" s="29"/>
      <c r="I42" s="29" t="s">
        <v>94</v>
      </c>
      <c r="J42" s="29"/>
      <c r="K42" s="30" t="s">
        <v>95</v>
      </c>
      <c r="L42" s="30"/>
      <c r="M42" s="31">
        <f>1419400</f>
        <v>1419400</v>
      </c>
      <c r="N42" s="31"/>
      <c r="O42" s="31">
        <f>1271101.03</f>
        <v>1271101.03</v>
      </c>
      <c r="P42" s="31"/>
      <c r="Q42" s="31"/>
      <c r="R42" s="31"/>
      <c r="S42" s="31"/>
      <c r="T42" s="33">
        <f>148298.97</f>
        <v>148298.97</v>
      </c>
      <c r="U42" s="33"/>
    </row>
    <row r="43" spans="1:21" s="1" customFormat="1" ht="13.5" customHeight="1">
      <c r="A43" s="34" t="s">
        <v>96</v>
      </c>
      <c r="B43" s="34"/>
      <c r="C43" s="34"/>
      <c r="D43" s="34"/>
      <c r="E43" s="34"/>
      <c r="F43" s="34"/>
      <c r="G43" s="29" t="s">
        <v>92</v>
      </c>
      <c r="H43" s="29"/>
      <c r="I43" s="29" t="s">
        <v>97</v>
      </c>
      <c r="J43" s="29"/>
      <c r="K43" s="30" t="s">
        <v>98</v>
      </c>
      <c r="L43" s="30"/>
      <c r="M43" s="31">
        <f>428700</f>
        <v>428700</v>
      </c>
      <c r="N43" s="31"/>
      <c r="O43" s="31">
        <f>307487.63</f>
        <v>307487.63</v>
      </c>
      <c r="P43" s="31"/>
      <c r="Q43" s="31"/>
      <c r="R43" s="31"/>
      <c r="S43" s="31"/>
      <c r="T43" s="33">
        <f>121212.37</f>
        <v>121212.37</v>
      </c>
      <c r="U43" s="33"/>
    </row>
    <row r="44" spans="1:21" s="1" customFormat="1" ht="13.5" customHeight="1">
      <c r="A44" s="34" t="s">
        <v>93</v>
      </c>
      <c r="B44" s="34"/>
      <c r="C44" s="34"/>
      <c r="D44" s="34"/>
      <c r="E44" s="34"/>
      <c r="F44" s="34"/>
      <c r="G44" s="29" t="s">
        <v>92</v>
      </c>
      <c r="H44" s="29"/>
      <c r="I44" s="29" t="s">
        <v>99</v>
      </c>
      <c r="J44" s="29"/>
      <c r="K44" s="30" t="s">
        <v>95</v>
      </c>
      <c r="L44" s="30"/>
      <c r="M44" s="31">
        <f>8546071.04</f>
        <v>8546071.04</v>
      </c>
      <c r="N44" s="31"/>
      <c r="O44" s="31">
        <f>7845313.26</f>
        <v>7845313.26</v>
      </c>
      <c r="P44" s="31"/>
      <c r="Q44" s="31"/>
      <c r="R44" s="31"/>
      <c r="S44" s="31"/>
      <c r="T44" s="33">
        <f>700757.78</f>
        <v>700757.78</v>
      </c>
      <c r="U44" s="33"/>
    </row>
    <row r="45" spans="1:21" s="1" customFormat="1" ht="13.5" customHeight="1">
      <c r="A45" s="34" t="s">
        <v>100</v>
      </c>
      <c r="B45" s="34"/>
      <c r="C45" s="34"/>
      <c r="D45" s="34"/>
      <c r="E45" s="34"/>
      <c r="F45" s="34"/>
      <c r="G45" s="29" t="s">
        <v>92</v>
      </c>
      <c r="H45" s="29"/>
      <c r="I45" s="29" t="s">
        <v>101</v>
      </c>
      <c r="J45" s="29"/>
      <c r="K45" s="30" t="s">
        <v>102</v>
      </c>
      <c r="L45" s="30"/>
      <c r="M45" s="31">
        <f>304000</f>
        <v>304000</v>
      </c>
      <c r="N45" s="31"/>
      <c r="O45" s="31">
        <f>98719</f>
        <v>98719</v>
      </c>
      <c r="P45" s="31"/>
      <c r="Q45" s="31"/>
      <c r="R45" s="31"/>
      <c r="S45" s="31"/>
      <c r="T45" s="33">
        <f>205281</f>
        <v>205281</v>
      </c>
      <c r="U45" s="33"/>
    </row>
    <row r="46" spans="1:21" s="1" customFormat="1" ht="13.5" customHeight="1">
      <c r="A46" s="34" t="s">
        <v>96</v>
      </c>
      <c r="B46" s="34"/>
      <c r="C46" s="34"/>
      <c r="D46" s="34"/>
      <c r="E46" s="34"/>
      <c r="F46" s="34"/>
      <c r="G46" s="29" t="s">
        <v>92</v>
      </c>
      <c r="H46" s="29"/>
      <c r="I46" s="29" t="s">
        <v>103</v>
      </c>
      <c r="J46" s="29"/>
      <c r="K46" s="30" t="s">
        <v>98</v>
      </c>
      <c r="L46" s="30"/>
      <c r="M46" s="31">
        <f>2491800</f>
        <v>2491800</v>
      </c>
      <c r="N46" s="31"/>
      <c r="O46" s="31">
        <f>2308835.96</f>
        <v>2308835.96</v>
      </c>
      <c r="P46" s="31"/>
      <c r="Q46" s="31"/>
      <c r="R46" s="31"/>
      <c r="S46" s="31"/>
      <c r="T46" s="33">
        <f>182964.04</f>
        <v>182964.04</v>
      </c>
      <c r="U46" s="33"/>
    </row>
    <row r="47" spans="1:21" s="1" customFormat="1" ht="13.5" customHeight="1">
      <c r="A47" s="34" t="s">
        <v>104</v>
      </c>
      <c r="B47" s="34"/>
      <c r="C47" s="34"/>
      <c r="D47" s="34"/>
      <c r="E47" s="34"/>
      <c r="F47" s="34"/>
      <c r="G47" s="29" t="s">
        <v>92</v>
      </c>
      <c r="H47" s="29"/>
      <c r="I47" s="29" t="s">
        <v>105</v>
      </c>
      <c r="J47" s="29"/>
      <c r="K47" s="30" t="s">
        <v>106</v>
      </c>
      <c r="L47" s="30"/>
      <c r="M47" s="31">
        <f>130257</f>
        <v>130257</v>
      </c>
      <c r="N47" s="31"/>
      <c r="O47" s="31">
        <f>130257</f>
        <v>130257</v>
      </c>
      <c r="P47" s="31"/>
      <c r="Q47" s="31"/>
      <c r="R47" s="31"/>
      <c r="S47" s="31"/>
      <c r="T47" s="33">
        <f>0</f>
        <v>0</v>
      </c>
      <c r="U47" s="33"/>
    </row>
    <row r="48" spans="1:21" s="1" customFormat="1" ht="13.5" customHeight="1">
      <c r="A48" s="34" t="s">
        <v>107</v>
      </c>
      <c r="B48" s="34"/>
      <c r="C48" s="34"/>
      <c r="D48" s="34"/>
      <c r="E48" s="34"/>
      <c r="F48" s="34"/>
      <c r="G48" s="29" t="s">
        <v>92</v>
      </c>
      <c r="H48" s="29"/>
      <c r="I48" s="29" t="s">
        <v>108</v>
      </c>
      <c r="J48" s="29"/>
      <c r="K48" s="30" t="s">
        <v>109</v>
      </c>
      <c r="L48" s="30"/>
      <c r="M48" s="31">
        <f>200000</f>
        <v>200000</v>
      </c>
      <c r="N48" s="31"/>
      <c r="O48" s="35" t="s">
        <v>46</v>
      </c>
      <c r="P48" s="35"/>
      <c r="Q48" s="35"/>
      <c r="R48" s="35"/>
      <c r="S48" s="35"/>
      <c r="T48" s="33">
        <f>200000</f>
        <v>200000</v>
      </c>
      <c r="U48" s="33"/>
    </row>
    <row r="49" spans="1:21" s="1" customFormat="1" ht="13.5" customHeight="1">
      <c r="A49" s="34" t="s">
        <v>110</v>
      </c>
      <c r="B49" s="34"/>
      <c r="C49" s="34"/>
      <c r="D49" s="34"/>
      <c r="E49" s="34"/>
      <c r="F49" s="34"/>
      <c r="G49" s="29" t="s">
        <v>92</v>
      </c>
      <c r="H49" s="29"/>
      <c r="I49" s="29" t="s">
        <v>111</v>
      </c>
      <c r="J49" s="29"/>
      <c r="K49" s="30" t="s">
        <v>112</v>
      </c>
      <c r="L49" s="30"/>
      <c r="M49" s="31">
        <f>50000</f>
        <v>50000</v>
      </c>
      <c r="N49" s="31"/>
      <c r="O49" s="31">
        <f>32400</f>
        <v>32400</v>
      </c>
      <c r="P49" s="31"/>
      <c r="Q49" s="31"/>
      <c r="R49" s="31"/>
      <c r="S49" s="31"/>
      <c r="T49" s="33">
        <f>17600</f>
        <v>17600</v>
      </c>
      <c r="U49" s="33"/>
    </row>
    <row r="50" spans="1:21" s="1" customFormat="1" ht="13.5" customHeight="1">
      <c r="A50" s="34" t="s">
        <v>110</v>
      </c>
      <c r="B50" s="34"/>
      <c r="C50" s="34"/>
      <c r="D50" s="34"/>
      <c r="E50" s="34"/>
      <c r="F50" s="34"/>
      <c r="G50" s="29" t="s">
        <v>92</v>
      </c>
      <c r="H50" s="29"/>
      <c r="I50" s="29" t="s">
        <v>113</v>
      </c>
      <c r="J50" s="29"/>
      <c r="K50" s="30" t="s">
        <v>112</v>
      </c>
      <c r="L50" s="30"/>
      <c r="M50" s="31">
        <f>63509</f>
        <v>63509</v>
      </c>
      <c r="N50" s="31"/>
      <c r="O50" s="35" t="s">
        <v>46</v>
      </c>
      <c r="P50" s="35"/>
      <c r="Q50" s="35"/>
      <c r="R50" s="35"/>
      <c r="S50" s="35"/>
      <c r="T50" s="33">
        <f>63509</f>
        <v>63509</v>
      </c>
      <c r="U50" s="33"/>
    </row>
    <row r="51" spans="1:21" s="1" customFormat="1" ht="13.5" customHeight="1">
      <c r="A51" s="34" t="s">
        <v>114</v>
      </c>
      <c r="B51" s="34"/>
      <c r="C51" s="34"/>
      <c r="D51" s="34"/>
      <c r="E51" s="34"/>
      <c r="F51" s="34"/>
      <c r="G51" s="29" t="s">
        <v>92</v>
      </c>
      <c r="H51" s="29"/>
      <c r="I51" s="29" t="s">
        <v>115</v>
      </c>
      <c r="J51" s="29"/>
      <c r="K51" s="30" t="s">
        <v>116</v>
      </c>
      <c r="L51" s="30"/>
      <c r="M51" s="31">
        <f>24000</f>
        <v>24000</v>
      </c>
      <c r="N51" s="31"/>
      <c r="O51" s="31">
        <f>19316.9</f>
        <v>19316.9</v>
      </c>
      <c r="P51" s="31"/>
      <c r="Q51" s="31"/>
      <c r="R51" s="31"/>
      <c r="S51" s="31"/>
      <c r="T51" s="33">
        <f>4683.1</f>
        <v>4683.1</v>
      </c>
      <c r="U51" s="33"/>
    </row>
    <row r="52" spans="1:21" s="1" customFormat="1" ht="13.5" customHeight="1">
      <c r="A52" s="34" t="s">
        <v>117</v>
      </c>
      <c r="B52" s="34"/>
      <c r="C52" s="34"/>
      <c r="D52" s="34"/>
      <c r="E52" s="34"/>
      <c r="F52" s="34"/>
      <c r="G52" s="29" t="s">
        <v>92</v>
      </c>
      <c r="H52" s="29"/>
      <c r="I52" s="29" t="s">
        <v>115</v>
      </c>
      <c r="J52" s="29"/>
      <c r="K52" s="30" t="s">
        <v>118</v>
      </c>
      <c r="L52" s="30"/>
      <c r="M52" s="31">
        <f>1457647.52</f>
        <v>1457647.52</v>
      </c>
      <c r="N52" s="31"/>
      <c r="O52" s="31">
        <f>1050247.08</f>
        <v>1050247.08</v>
      </c>
      <c r="P52" s="31"/>
      <c r="Q52" s="31"/>
      <c r="R52" s="31"/>
      <c r="S52" s="31"/>
      <c r="T52" s="33">
        <f>407400.44</f>
        <v>407400.44</v>
      </c>
      <c r="U52" s="33"/>
    </row>
    <row r="53" spans="1:21" s="1" customFormat="1" ht="13.5" customHeight="1">
      <c r="A53" s="34" t="s">
        <v>119</v>
      </c>
      <c r="B53" s="34"/>
      <c r="C53" s="34"/>
      <c r="D53" s="34"/>
      <c r="E53" s="34"/>
      <c r="F53" s="34"/>
      <c r="G53" s="29" t="s">
        <v>92</v>
      </c>
      <c r="H53" s="29"/>
      <c r="I53" s="29" t="s">
        <v>115</v>
      </c>
      <c r="J53" s="29"/>
      <c r="K53" s="30" t="s">
        <v>120</v>
      </c>
      <c r="L53" s="30"/>
      <c r="M53" s="31">
        <f>239975.92</f>
        <v>239975.92</v>
      </c>
      <c r="N53" s="31"/>
      <c r="O53" s="31">
        <f>120670.52</f>
        <v>120670.52</v>
      </c>
      <c r="P53" s="31"/>
      <c r="Q53" s="31"/>
      <c r="R53" s="31"/>
      <c r="S53" s="31"/>
      <c r="T53" s="33">
        <f>119305.4</f>
        <v>119305.4</v>
      </c>
      <c r="U53" s="33"/>
    </row>
    <row r="54" spans="1:21" s="1" customFormat="1" ht="13.5" customHeight="1">
      <c r="A54" s="34" t="s">
        <v>110</v>
      </c>
      <c r="B54" s="34"/>
      <c r="C54" s="34"/>
      <c r="D54" s="34"/>
      <c r="E54" s="34"/>
      <c r="F54" s="34"/>
      <c r="G54" s="29" t="s">
        <v>92</v>
      </c>
      <c r="H54" s="29"/>
      <c r="I54" s="29" t="s">
        <v>115</v>
      </c>
      <c r="J54" s="29"/>
      <c r="K54" s="30" t="s">
        <v>112</v>
      </c>
      <c r="L54" s="30"/>
      <c r="M54" s="31">
        <f>77000</f>
        <v>77000</v>
      </c>
      <c r="N54" s="31"/>
      <c r="O54" s="31">
        <f>30360</f>
        <v>30360</v>
      </c>
      <c r="P54" s="31"/>
      <c r="Q54" s="31"/>
      <c r="R54" s="31"/>
      <c r="S54" s="31"/>
      <c r="T54" s="33">
        <f>46640</f>
        <v>46640</v>
      </c>
      <c r="U54" s="33"/>
    </row>
    <row r="55" spans="1:21" s="1" customFormat="1" ht="13.5" customHeight="1">
      <c r="A55" s="34" t="s">
        <v>121</v>
      </c>
      <c r="B55" s="34"/>
      <c r="C55" s="34"/>
      <c r="D55" s="34"/>
      <c r="E55" s="34"/>
      <c r="F55" s="34"/>
      <c r="G55" s="29" t="s">
        <v>92</v>
      </c>
      <c r="H55" s="29"/>
      <c r="I55" s="29" t="s">
        <v>115</v>
      </c>
      <c r="J55" s="29"/>
      <c r="K55" s="30" t="s">
        <v>122</v>
      </c>
      <c r="L55" s="30"/>
      <c r="M55" s="31">
        <f>105000</f>
        <v>105000</v>
      </c>
      <c r="N55" s="31"/>
      <c r="O55" s="31">
        <f>83100</f>
        <v>83100</v>
      </c>
      <c r="P55" s="31"/>
      <c r="Q55" s="31"/>
      <c r="R55" s="31"/>
      <c r="S55" s="31"/>
      <c r="T55" s="33">
        <f>21900</f>
        <v>21900</v>
      </c>
      <c r="U55" s="33"/>
    </row>
    <row r="56" spans="1:21" s="1" customFormat="1" ht="13.5" customHeight="1">
      <c r="A56" s="34" t="s">
        <v>123</v>
      </c>
      <c r="B56" s="34"/>
      <c r="C56" s="34"/>
      <c r="D56" s="34"/>
      <c r="E56" s="34"/>
      <c r="F56" s="34"/>
      <c r="G56" s="29" t="s">
        <v>92</v>
      </c>
      <c r="H56" s="29"/>
      <c r="I56" s="29" t="s">
        <v>115</v>
      </c>
      <c r="J56" s="29"/>
      <c r="K56" s="30" t="s">
        <v>124</v>
      </c>
      <c r="L56" s="30"/>
      <c r="M56" s="31">
        <f>100000</f>
        <v>100000</v>
      </c>
      <c r="N56" s="31"/>
      <c r="O56" s="31">
        <f>50105</f>
        <v>50105</v>
      </c>
      <c r="P56" s="31"/>
      <c r="Q56" s="31"/>
      <c r="R56" s="31"/>
      <c r="S56" s="31"/>
      <c r="T56" s="33">
        <f>49895</f>
        <v>49895</v>
      </c>
      <c r="U56" s="33"/>
    </row>
    <row r="57" spans="1:21" s="1" customFormat="1" ht="13.5" customHeight="1">
      <c r="A57" s="34" t="s">
        <v>107</v>
      </c>
      <c r="B57" s="34"/>
      <c r="C57" s="34"/>
      <c r="D57" s="34"/>
      <c r="E57" s="34"/>
      <c r="F57" s="34"/>
      <c r="G57" s="29" t="s">
        <v>92</v>
      </c>
      <c r="H57" s="29"/>
      <c r="I57" s="29" t="s">
        <v>125</v>
      </c>
      <c r="J57" s="29"/>
      <c r="K57" s="30" t="s">
        <v>109</v>
      </c>
      <c r="L57" s="30"/>
      <c r="M57" s="31">
        <f>108934</f>
        <v>108934</v>
      </c>
      <c r="N57" s="31"/>
      <c r="O57" s="31">
        <f>100787.3</f>
        <v>100787.3</v>
      </c>
      <c r="P57" s="31"/>
      <c r="Q57" s="31"/>
      <c r="R57" s="31"/>
      <c r="S57" s="31"/>
      <c r="T57" s="33">
        <f>8146.7</f>
        <v>8146.7</v>
      </c>
      <c r="U57" s="33"/>
    </row>
    <row r="58" spans="1:21" s="1" customFormat="1" ht="13.5" customHeight="1">
      <c r="A58" s="34" t="s">
        <v>107</v>
      </c>
      <c r="B58" s="34"/>
      <c r="C58" s="34"/>
      <c r="D58" s="34"/>
      <c r="E58" s="34"/>
      <c r="F58" s="34"/>
      <c r="G58" s="29" t="s">
        <v>92</v>
      </c>
      <c r="H58" s="29"/>
      <c r="I58" s="29" t="s">
        <v>126</v>
      </c>
      <c r="J58" s="29"/>
      <c r="K58" s="30" t="s">
        <v>109</v>
      </c>
      <c r="L58" s="30"/>
      <c r="M58" s="31">
        <f>400</f>
        <v>400</v>
      </c>
      <c r="N58" s="31"/>
      <c r="O58" s="31">
        <f>400</f>
        <v>400</v>
      </c>
      <c r="P58" s="31"/>
      <c r="Q58" s="31"/>
      <c r="R58" s="31"/>
      <c r="S58" s="31"/>
      <c r="T58" s="33">
        <f>0</f>
        <v>0</v>
      </c>
      <c r="U58" s="33"/>
    </row>
    <row r="59" spans="1:21" s="1" customFormat="1" ht="13.5" customHeight="1">
      <c r="A59" s="34" t="s">
        <v>100</v>
      </c>
      <c r="B59" s="34"/>
      <c r="C59" s="34"/>
      <c r="D59" s="34"/>
      <c r="E59" s="34"/>
      <c r="F59" s="34"/>
      <c r="G59" s="29" t="s">
        <v>92</v>
      </c>
      <c r="H59" s="29"/>
      <c r="I59" s="29" t="s">
        <v>127</v>
      </c>
      <c r="J59" s="29"/>
      <c r="K59" s="30" t="s">
        <v>102</v>
      </c>
      <c r="L59" s="30"/>
      <c r="M59" s="31">
        <f>250000</f>
        <v>250000</v>
      </c>
      <c r="N59" s="31"/>
      <c r="O59" s="31">
        <f>234133.51</f>
        <v>234133.51</v>
      </c>
      <c r="P59" s="31"/>
      <c r="Q59" s="31"/>
      <c r="R59" s="31"/>
      <c r="S59" s="31"/>
      <c r="T59" s="33">
        <f>15866.49</f>
        <v>15866.49</v>
      </c>
      <c r="U59" s="33"/>
    </row>
    <row r="60" spans="1:21" s="1" customFormat="1" ht="13.5" customHeight="1">
      <c r="A60" s="34" t="s">
        <v>107</v>
      </c>
      <c r="B60" s="34"/>
      <c r="C60" s="34"/>
      <c r="D60" s="34"/>
      <c r="E60" s="34"/>
      <c r="F60" s="34"/>
      <c r="G60" s="29" t="s">
        <v>92</v>
      </c>
      <c r="H60" s="29"/>
      <c r="I60" s="29" t="s">
        <v>128</v>
      </c>
      <c r="J60" s="29"/>
      <c r="K60" s="30" t="s">
        <v>109</v>
      </c>
      <c r="L60" s="30"/>
      <c r="M60" s="31">
        <f>25000</f>
        <v>25000</v>
      </c>
      <c r="N60" s="31"/>
      <c r="O60" s="31">
        <f>25000</f>
        <v>25000</v>
      </c>
      <c r="P60" s="31"/>
      <c r="Q60" s="31"/>
      <c r="R60" s="31"/>
      <c r="S60" s="31"/>
      <c r="T60" s="33">
        <f>0</f>
        <v>0</v>
      </c>
      <c r="U60" s="33"/>
    </row>
    <row r="61" spans="1:21" s="1" customFormat="1" ht="13.5" customHeight="1">
      <c r="A61" s="34" t="s">
        <v>93</v>
      </c>
      <c r="B61" s="34"/>
      <c r="C61" s="34"/>
      <c r="D61" s="34"/>
      <c r="E61" s="34"/>
      <c r="F61" s="34"/>
      <c r="G61" s="29" t="s">
        <v>92</v>
      </c>
      <c r="H61" s="29"/>
      <c r="I61" s="29" t="s">
        <v>129</v>
      </c>
      <c r="J61" s="29"/>
      <c r="K61" s="30" t="s">
        <v>95</v>
      </c>
      <c r="L61" s="30"/>
      <c r="M61" s="31">
        <f>4226000</f>
        <v>4226000</v>
      </c>
      <c r="N61" s="31"/>
      <c r="O61" s="31">
        <f>3776827.37</f>
        <v>3776827.37</v>
      </c>
      <c r="P61" s="31"/>
      <c r="Q61" s="31"/>
      <c r="R61" s="31"/>
      <c r="S61" s="31"/>
      <c r="T61" s="33">
        <f>449172.63</f>
        <v>449172.63</v>
      </c>
      <c r="U61" s="33"/>
    </row>
    <row r="62" spans="1:21" s="1" customFormat="1" ht="13.5" customHeight="1">
      <c r="A62" s="34" t="s">
        <v>100</v>
      </c>
      <c r="B62" s="34"/>
      <c r="C62" s="34"/>
      <c r="D62" s="34"/>
      <c r="E62" s="34"/>
      <c r="F62" s="34"/>
      <c r="G62" s="29" t="s">
        <v>92</v>
      </c>
      <c r="H62" s="29"/>
      <c r="I62" s="29" t="s">
        <v>130</v>
      </c>
      <c r="J62" s="29"/>
      <c r="K62" s="30" t="s">
        <v>102</v>
      </c>
      <c r="L62" s="30"/>
      <c r="M62" s="31">
        <f>119275.41</f>
        <v>119275.41</v>
      </c>
      <c r="N62" s="31"/>
      <c r="O62" s="31">
        <f>119275.41</f>
        <v>119275.41</v>
      </c>
      <c r="P62" s="31"/>
      <c r="Q62" s="31"/>
      <c r="R62" s="31"/>
      <c r="S62" s="31"/>
      <c r="T62" s="33">
        <f>0</f>
        <v>0</v>
      </c>
      <c r="U62" s="33"/>
    </row>
    <row r="63" spans="1:21" s="1" customFormat="1" ht="13.5" customHeight="1">
      <c r="A63" s="34" t="s">
        <v>96</v>
      </c>
      <c r="B63" s="34"/>
      <c r="C63" s="34"/>
      <c r="D63" s="34"/>
      <c r="E63" s="34"/>
      <c r="F63" s="34"/>
      <c r="G63" s="29" t="s">
        <v>92</v>
      </c>
      <c r="H63" s="29"/>
      <c r="I63" s="29" t="s">
        <v>131</v>
      </c>
      <c r="J63" s="29"/>
      <c r="K63" s="30" t="s">
        <v>98</v>
      </c>
      <c r="L63" s="30"/>
      <c r="M63" s="31">
        <f>1288900</f>
        <v>1288900</v>
      </c>
      <c r="N63" s="31"/>
      <c r="O63" s="31">
        <f>1024798.27</f>
        <v>1024798.27</v>
      </c>
      <c r="P63" s="31"/>
      <c r="Q63" s="31"/>
      <c r="R63" s="31"/>
      <c r="S63" s="31"/>
      <c r="T63" s="33">
        <f>264101.73</f>
        <v>264101.73</v>
      </c>
      <c r="U63" s="33"/>
    </row>
    <row r="64" spans="1:21" s="1" customFormat="1" ht="13.5" customHeight="1">
      <c r="A64" s="34" t="s">
        <v>114</v>
      </c>
      <c r="B64" s="34"/>
      <c r="C64" s="34"/>
      <c r="D64" s="34"/>
      <c r="E64" s="34"/>
      <c r="F64" s="34"/>
      <c r="G64" s="29" t="s">
        <v>92</v>
      </c>
      <c r="H64" s="29"/>
      <c r="I64" s="29" t="s">
        <v>132</v>
      </c>
      <c r="J64" s="29"/>
      <c r="K64" s="30" t="s">
        <v>116</v>
      </c>
      <c r="L64" s="30"/>
      <c r="M64" s="31">
        <f>14000</f>
        <v>14000</v>
      </c>
      <c r="N64" s="31"/>
      <c r="O64" s="31">
        <f>9682.09</f>
        <v>9682.09</v>
      </c>
      <c r="P64" s="31"/>
      <c r="Q64" s="31"/>
      <c r="R64" s="31"/>
      <c r="S64" s="31"/>
      <c r="T64" s="33">
        <f>4317.91</f>
        <v>4317.91</v>
      </c>
      <c r="U64" s="33"/>
    </row>
    <row r="65" spans="1:21" s="1" customFormat="1" ht="13.5" customHeight="1">
      <c r="A65" s="34" t="s">
        <v>114</v>
      </c>
      <c r="B65" s="34"/>
      <c r="C65" s="34"/>
      <c r="D65" s="34"/>
      <c r="E65" s="34"/>
      <c r="F65" s="34"/>
      <c r="G65" s="29" t="s">
        <v>92</v>
      </c>
      <c r="H65" s="29"/>
      <c r="I65" s="29" t="s">
        <v>133</v>
      </c>
      <c r="J65" s="29"/>
      <c r="K65" s="30" t="s">
        <v>116</v>
      </c>
      <c r="L65" s="30"/>
      <c r="M65" s="31">
        <f>1100</f>
        <v>1100</v>
      </c>
      <c r="N65" s="31"/>
      <c r="O65" s="31">
        <f>235.4</f>
        <v>235.4</v>
      </c>
      <c r="P65" s="31"/>
      <c r="Q65" s="31"/>
      <c r="R65" s="31"/>
      <c r="S65" s="31"/>
      <c r="T65" s="33">
        <f>864.6</f>
        <v>864.6</v>
      </c>
      <c r="U65" s="33"/>
    </row>
    <row r="66" spans="1:21" s="1" customFormat="1" ht="13.5" customHeight="1">
      <c r="A66" s="34" t="s">
        <v>119</v>
      </c>
      <c r="B66" s="34"/>
      <c r="C66" s="34"/>
      <c r="D66" s="34"/>
      <c r="E66" s="34"/>
      <c r="F66" s="34"/>
      <c r="G66" s="29" t="s">
        <v>92</v>
      </c>
      <c r="H66" s="29"/>
      <c r="I66" s="29" t="s">
        <v>133</v>
      </c>
      <c r="J66" s="29"/>
      <c r="K66" s="30" t="s">
        <v>120</v>
      </c>
      <c r="L66" s="30"/>
      <c r="M66" s="31">
        <f>11124.59</f>
        <v>11124.59</v>
      </c>
      <c r="N66" s="31"/>
      <c r="O66" s="35" t="s">
        <v>46</v>
      </c>
      <c r="P66" s="35"/>
      <c r="Q66" s="35"/>
      <c r="R66" s="35"/>
      <c r="S66" s="35"/>
      <c r="T66" s="33">
        <f>11124.59</f>
        <v>11124.59</v>
      </c>
      <c r="U66" s="33"/>
    </row>
    <row r="67" spans="1:21" s="1" customFormat="1" ht="13.5" customHeight="1">
      <c r="A67" s="34" t="s">
        <v>110</v>
      </c>
      <c r="B67" s="34"/>
      <c r="C67" s="34"/>
      <c r="D67" s="34"/>
      <c r="E67" s="34"/>
      <c r="F67" s="34"/>
      <c r="G67" s="29" t="s">
        <v>92</v>
      </c>
      <c r="H67" s="29"/>
      <c r="I67" s="29" t="s">
        <v>133</v>
      </c>
      <c r="J67" s="29"/>
      <c r="K67" s="30" t="s">
        <v>112</v>
      </c>
      <c r="L67" s="30"/>
      <c r="M67" s="31">
        <f>45300</f>
        <v>45300</v>
      </c>
      <c r="N67" s="31"/>
      <c r="O67" s="31">
        <f>33327.89</f>
        <v>33327.89</v>
      </c>
      <c r="P67" s="31"/>
      <c r="Q67" s="31"/>
      <c r="R67" s="31"/>
      <c r="S67" s="31"/>
      <c r="T67" s="33">
        <f>11972.11</f>
        <v>11972.11</v>
      </c>
      <c r="U67" s="33"/>
    </row>
    <row r="68" spans="1:21" s="1" customFormat="1" ht="13.5" customHeight="1">
      <c r="A68" s="34" t="s">
        <v>121</v>
      </c>
      <c r="B68" s="34"/>
      <c r="C68" s="34"/>
      <c r="D68" s="34"/>
      <c r="E68" s="34"/>
      <c r="F68" s="34"/>
      <c r="G68" s="29" t="s">
        <v>92</v>
      </c>
      <c r="H68" s="29"/>
      <c r="I68" s="29" t="s">
        <v>133</v>
      </c>
      <c r="J68" s="29"/>
      <c r="K68" s="30" t="s">
        <v>122</v>
      </c>
      <c r="L68" s="30"/>
      <c r="M68" s="31">
        <f>3600</f>
        <v>3600</v>
      </c>
      <c r="N68" s="31"/>
      <c r="O68" s="31">
        <f>3600</f>
        <v>3600</v>
      </c>
      <c r="P68" s="31"/>
      <c r="Q68" s="31"/>
      <c r="R68" s="31"/>
      <c r="S68" s="31"/>
      <c r="T68" s="33">
        <f>0</f>
        <v>0</v>
      </c>
      <c r="U68" s="33"/>
    </row>
    <row r="69" spans="1:21" s="1" customFormat="1" ht="13.5" customHeight="1">
      <c r="A69" s="34" t="s">
        <v>123</v>
      </c>
      <c r="B69" s="34"/>
      <c r="C69" s="34"/>
      <c r="D69" s="34"/>
      <c r="E69" s="34"/>
      <c r="F69" s="34"/>
      <c r="G69" s="29" t="s">
        <v>92</v>
      </c>
      <c r="H69" s="29"/>
      <c r="I69" s="29" t="s">
        <v>133</v>
      </c>
      <c r="J69" s="29"/>
      <c r="K69" s="30" t="s">
        <v>124</v>
      </c>
      <c r="L69" s="30"/>
      <c r="M69" s="31">
        <f>416900</f>
        <v>416900</v>
      </c>
      <c r="N69" s="31"/>
      <c r="O69" s="31">
        <f>406461.62</f>
        <v>406461.62</v>
      </c>
      <c r="P69" s="31"/>
      <c r="Q69" s="31"/>
      <c r="R69" s="31"/>
      <c r="S69" s="31"/>
      <c r="T69" s="33">
        <f>10438.38</f>
        <v>10438.38</v>
      </c>
      <c r="U69" s="33"/>
    </row>
    <row r="70" spans="1:21" s="1" customFormat="1" ht="13.5" customHeight="1">
      <c r="A70" s="34" t="s">
        <v>107</v>
      </c>
      <c r="B70" s="34"/>
      <c r="C70" s="34"/>
      <c r="D70" s="34"/>
      <c r="E70" s="34"/>
      <c r="F70" s="34"/>
      <c r="G70" s="29" t="s">
        <v>92</v>
      </c>
      <c r="H70" s="29"/>
      <c r="I70" s="29" t="s">
        <v>134</v>
      </c>
      <c r="J70" s="29"/>
      <c r="K70" s="30" t="s">
        <v>109</v>
      </c>
      <c r="L70" s="30"/>
      <c r="M70" s="31">
        <f>3000</f>
        <v>3000</v>
      </c>
      <c r="N70" s="31"/>
      <c r="O70" s="31">
        <f>2445</f>
        <v>2445</v>
      </c>
      <c r="P70" s="31"/>
      <c r="Q70" s="31"/>
      <c r="R70" s="31"/>
      <c r="S70" s="31"/>
      <c r="T70" s="33">
        <f>555</f>
        <v>555</v>
      </c>
      <c r="U70" s="33"/>
    </row>
    <row r="71" spans="1:21" s="1" customFormat="1" ht="13.5" customHeight="1">
      <c r="A71" s="34" t="s">
        <v>107</v>
      </c>
      <c r="B71" s="34"/>
      <c r="C71" s="34"/>
      <c r="D71" s="34"/>
      <c r="E71" s="34"/>
      <c r="F71" s="34"/>
      <c r="G71" s="29" t="s">
        <v>92</v>
      </c>
      <c r="H71" s="29"/>
      <c r="I71" s="29" t="s">
        <v>135</v>
      </c>
      <c r="J71" s="29"/>
      <c r="K71" s="30" t="s">
        <v>109</v>
      </c>
      <c r="L71" s="30"/>
      <c r="M71" s="31">
        <f>13500</f>
        <v>13500</v>
      </c>
      <c r="N71" s="31"/>
      <c r="O71" s="31">
        <f>12832.39</f>
        <v>12832.39</v>
      </c>
      <c r="P71" s="31"/>
      <c r="Q71" s="31"/>
      <c r="R71" s="31"/>
      <c r="S71" s="31"/>
      <c r="T71" s="33">
        <f>667.61</f>
        <v>667.61</v>
      </c>
      <c r="U71" s="33"/>
    </row>
    <row r="72" spans="1:21" s="1" customFormat="1" ht="13.5" customHeight="1">
      <c r="A72" s="34" t="s">
        <v>93</v>
      </c>
      <c r="B72" s="34"/>
      <c r="C72" s="34"/>
      <c r="D72" s="34"/>
      <c r="E72" s="34"/>
      <c r="F72" s="34"/>
      <c r="G72" s="29" t="s">
        <v>92</v>
      </c>
      <c r="H72" s="29"/>
      <c r="I72" s="29" t="s">
        <v>136</v>
      </c>
      <c r="J72" s="29"/>
      <c r="K72" s="30" t="s">
        <v>95</v>
      </c>
      <c r="L72" s="30"/>
      <c r="M72" s="31">
        <f>460100</f>
        <v>460100</v>
      </c>
      <c r="N72" s="31"/>
      <c r="O72" s="31">
        <f>327533.6</f>
        <v>327533.6</v>
      </c>
      <c r="P72" s="31"/>
      <c r="Q72" s="31"/>
      <c r="R72" s="31"/>
      <c r="S72" s="31"/>
      <c r="T72" s="33">
        <f>132566.4</f>
        <v>132566.4</v>
      </c>
      <c r="U72" s="33"/>
    </row>
    <row r="73" spans="1:21" s="1" customFormat="1" ht="13.5" customHeight="1">
      <c r="A73" s="34" t="s">
        <v>96</v>
      </c>
      <c r="B73" s="34"/>
      <c r="C73" s="34"/>
      <c r="D73" s="34"/>
      <c r="E73" s="34"/>
      <c r="F73" s="34"/>
      <c r="G73" s="29" t="s">
        <v>92</v>
      </c>
      <c r="H73" s="29"/>
      <c r="I73" s="29" t="s">
        <v>137</v>
      </c>
      <c r="J73" s="29"/>
      <c r="K73" s="30" t="s">
        <v>98</v>
      </c>
      <c r="L73" s="30"/>
      <c r="M73" s="31">
        <f>138900</f>
        <v>138900</v>
      </c>
      <c r="N73" s="31"/>
      <c r="O73" s="31">
        <f>94565.5</f>
        <v>94565.5</v>
      </c>
      <c r="P73" s="31"/>
      <c r="Q73" s="31"/>
      <c r="R73" s="31"/>
      <c r="S73" s="31"/>
      <c r="T73" s="33">
        <f>44334.5</f>
        <v>44334.5</v>
      </c>
      <c r="U73" s="33"/>
    </row>
    <row r="74" spans="1:21" s="1" customFormat="1" ht="13.5" customHeight="1">
      <c r="A74" s="34" t="s">
        <v>114</v>
      </c>
      <c r="B74" s="34"/>
      <c r="C74" s="34"/>
      <c r="D74" s="34"/>
      <c r="E74" s="34"/>
      <c r="F74" s="34"/>
      <c r="G74" s="29" t="s">
        <v>92</v>
      </c>
      <c r="H74" s="29"/>
      <c r="I74" s="29" t="s">
        <v>138</v>
      </c>
      <c r="J74" s="29"/>
      <c r="K74" s="30" t="s">
        <v>116</v>
      </c>
      <c r="L74" s="30"/>
      <c r="M74" s="31">
        <f>19200</f>
        <v>19200</v>
      </c>
      <c r="N74" s="31"/>
      <c r="O74" s="31">
        <f>10462.9</f>
        <v>10462.9</v>
      </c>
      <c r="P74" s="31"/>
      <c r="Q74" s="31"/>
      <c r="R74" s="31"/>
      <c r="S74" s="31"/>
      <c r="T74" s="33">
        <f>8737.1</f>
        <v>8737.1</v>
      </c>
      <c r="U74" s="33"/>
    </row>
    <row r="75" spans="1:21" s="1" customFormat="1" ht="13.5" customHeight="1">
      <c r="A75" s="34" t="s">
        <v>117</v>
      </c>
      <c r="B75" s="34"/>
      <c r="C75" s="34"/>
      <c r="D75" s="34"/>
      <c r="E75" s="34"/>
      <c r="F75" s="34"/>
      <c r="G75" s="29" t="s">
        <v>92</v>
      </c>
      <c r="H75" s="29"/>
      <c r="I75" s="29" t="s">
        <v>139</v>
      </c>
      <c r="J75" s="29"/>
      <c r="K75" s="30" t="s">
        <v>118</v>
      </c>
      <c r="L75" s="30"/>
      <c r="M75" s="31">
        <f>66500</f>
        <v>66500</v>
      </c>
      <c r="N75" s="31"/>
      <c r="O75" s="31">
        <f>66500</f>
        <v>66500</v>
      </c>
      <c r="P75" s="31"/>
      <c r="Q75" s="31"/>
      <c r="R75" s="31"/>
      <c r="S75" s="31"/>
      <c r="T75" s="33">
        <f>0</f>
        <v>0</v>
      </c>
      <c r="U75" s="33"/>
    </row>
    <row r="76" spans="1:21" s="1" customFormat="1" ht="13.5" customHeight="1">
      <c r="A76" s="34" t="s">
        <v>119</v>
      </c>
      <c r="B76" s="34"/>
      <c r="C76" s="34"/>
      <c r="D76" s="34"/>
      <c r="E76" s="34"/>
      <c r="F76" s="34"/>
      <c r="G76" s="29" t="s">
        <v>92</v>
      </c>
      <c r="H76" s="29"/>
      <c r="I76" s="29" t="s">
        <v>139</v>
      </c>
      <c r="J76" s="29"/>
      <c r="K76" s="30" t="s">
        <v>120</v>
      </c>
      <c r="L76" s="30"/>
      <c r="M76" s="31">
        <f>4795</f>
        <v>4795</v>
      </c>
      <c r="N76" s="31"/>
      <c r="O76" s="31">
        <f>4795</f>
        <v>4795</v>
      </c>
      <c r="P76" s="31"/>
      <c r="Q76" s="31"/>
      <c r="R76" s="31"/>
      <c r="S76" s="31"/>
      <c r="T76" s="33">
        <f>0</f>
        <v>0</v>
      </c>
      <c r="U76" s="33"/>
    </row>
    <row r="77" spans="1:21" s="1" customFormat="1" ht="13.5" customHeight="1">
      <c r="A77" s="34" t="s">
        <v>110</v>
      </c>
      <c r="B77" s="34"/>
      <c r="C77" s="34"/>
      <c r="D77" s="34"/>
      <c r="E77" s="34"/>
      <c r="F77" s="34"/>
      <c r="G77" s="29" t="s">
        <v>92</v>
      </c>
      <c r="H77" s="29"/>
      <c r="I77" s="29" t="s">
        <v>139</v>
      </c>
      <c r="J77" s="29"/>
      <c r="K77" s="30" t="s">
        <v>112</v>
      </c>
      <c r="L77" s="30"/>
      <c r="M77" s="31">
        <f>7000</f>
        <v>7000</v>
      </c>
      <c r="N77" s="31"/>
      <c r="O77" s="35" t="s">
        <v>46</v>
      </c>
      <c r="P77" s="35"/>
      <c r="Q77" s="35"/>
      <c r="R77" s="35"/>
      <c r="S77" s="35"/>
      <c r="T77" s="33">
        <f>7000</f>
        <v>7000</v>
      </c>
      <c r="U77" s="33"/>
    </row>
    <row r="78" spans="1:21" s="1" customFormat="1" ht="13.5" customHeight="1">
      <c r="A78" s="34" t="s">
        <v>121</v>
      </c>
      <c r="B78" s="34"/>
      <c r="C78" s="34"/>
      <c r="D78" s="34"/>
      <c r="E78" s="34"/>
      <c r="F78" s="34"/>
      <c r="G78" s="29" t="s">
        <v>92</v>
      </c>
      <c r="H78" s="29"/>
      <c r="I78" s="29" t="s">
        <v>139</v>
      </c>
      <c r="J78" s="29"/>
      <c r="K78" s="30" t="s">
        <v>122</v>
      </c>
      <c r="L78" s="30"/>
      <c r="M78" s="31">
        <f>45505</f>
        <v>45505</v>
      </c>
      <c r="N78" s="31"/>
      <c r="O78" s="31">
        <f>31622.87</f>
        <v>31622.87</v>
      </c>
      <c r="P78" s="31"/>
      <c r="Q78" s="31"/>
      <c r="R78" s="31"/>
      <c r="S78" s="31"/>
      <c r="T78" s="33">
        <f>13882.13</f>
        <v>13882.13</v>
      </c>
      <c r="U78" s="33"/>
    </row>
    <row r="79" spans="1:21" s="1" customFormat="1" ht="13.5" customHeight="1">
      <c r="A79" s="34" t="s">
        <v>123</v>
      </c>
      <c r="B79" s="34"/>
      <c r="C79" s="34"/>
      <c r="D79" s="34"/>
      <c r="E79" s="34"/>
      <c r="F79" s="34"/>
      <c r="G79" s="29" t="s">
        <v>92</v>
      </c>
      <c r="H79" s="29"/>
      <c r="I79" s="29" t="s">
        <v>139</v>
      </c>
      <c r="J79" s="29"/>
      <c r="K79" s="30" t="s">
        <v>124</v>
      </c>
      <c r="L79" s="30"/>
      <c r="M79" s="31">
        <f>46000</f>
        <v>46000</v>
      </c>
      <c r="N79" s="31"/>
      <c r="O79" s="31">
        <f>37015.6</f>
        <v>37015.6</v>
      </c>
      <c r="P79" s="31"/>
      <c r="Q79" s="31"/>
      <c r="R79" s="31"/>
      <c r="S79" s="31"/>
      <c r="T79" s="33">
        <f>8984.4</f>
        <v>8984.4</v>
      </c>
      <c r="U79" s="33"/>
    </row>
    <row r="80" spans="1:21" s="1" customFormat="1" ht="13.5" customHeight="1">
      <c r="A80" s="34" t="s">
        <v>93</v>
      </c>
      <c r="B80" s="34"/>
      <c r="C80" s="34"/>
      <c r="D80" s="34"/>
      <c r="E80" s="34"/>
      <c r="F80" s="34"/>
      <c r="G80" s="29" t="s">
        <v>92</v>
      </c>
      <c r="H80" s="29"/>
      <c r="I80" s="29" t="s">
        <v>140</v>
      </c>
      <c r="J80" s="29"/>
      <c r="K80" s="30" t="s">
        <v>95</v>
      </c>
      <c r="L80" s="30"/>
      <c r="M80" s="31">
        <f>33000</f>
        <v>33000</v>
      </c>
      <c r="N80" s="31"/>
      <c r="O80" s="31">
        <f>30100</f>
        <v>30100</v>
      </c>
      <c r="P80" s="31"/>
      <c r="Q80" s="31"/>
      <c r="R80" s="31"/>
      <c r="S80" s="31"/>
      <c r="T80" s="33">
        <f>2900</f>
        <v>2900</v>
      </c>
      <c r="U80" s="33"/>
    </row>
    <row r="81" spans="1:21" s="1" customFormat="1" ht="13.5" customHeight="1">
      <c r="A81" s="34" t="s">
        <v>96</v>
      </c>
      <c r="B81" s="34"/>
      <c r="C81" s="34"/>
      <c r="D81" s="34"/>
      <c r="E81" s="34"/>
      <c r="F81" s="34"/>
      <c r="G81" s="29" t="s">
        <v>92</v>
      </c>
      <c r="H81" s="29"/>
      <c r="I81" s="29" t="s">
        <v>141</v>
      </c>
      <c r="J81" s="29"/>
      <c r="K81" s="30" t="s">
        <v>98</v>
      </c>
      <c r="L81" s="30"/>
      <c r="M81" s="31">
        <f>10000</f>
        <v>10000</v>
      </c>
      <c r="N81" s="31"/>
      <c r="O81" s="31">
        <f>8600</f>
        <v>8600</v>
      </c>
      <c r="P81" s="31"/>
      <c r="Q81" s="31"/>
      <c r="R81" s="31"/>
      <c r="S81" s="31"/>
      <c r="T81" s="33">
        <f>1400</f>
        <v>1400</v>
      </c>
      <c r="U81" s="33"/>
    </row>
    <row r="82" spans="1:21" s="1" customFormat="1" ht="13.5" customHeight="1">
      <c r="A82" s="34" t="s">
        <v>119</v>
      </c>
      <c r="B82" s="34"/>
      <c r="C82" s="34"/>
      <c r="D82" s="34"/>
      <c r="E82" s="34"/>
      <c r="F82" s="34"/>
      <c r="G82" s="29" t="s">
        <v>92</v>
      </c>
      <c r="H82" s="29"/>
      <c r="I82" s="29" t="s">
        <v>142</v>
      </c>
      <c r="J82" s="29"/>
      <c r="K82" s="30" t="s">
        <v>120</v>
      </c>
      <c r="L82" s="30"/>
      <c r="M82" s="31">
        <f>26210</f>
        <v>26210</v>
      </c>
      <c r="N82" s="31"/>
      <c r="O82" s="31">
        <f>8445</f>
        <v>8445</v>
      </c>
      <c r="P82" s="31"/>
      <c r="Q82" s="31"/>
      <c r="R82" s="31"/>
      <c r="S82" s="31"/>
      <c r="T82" s="33">
        <f>17765</f>
        <v>17765</v>
      </c>
      <c r="U82" s="33"/>
    </row>
    <row r="83" spans="1:21" s="1" customFormat="1" ht="13.5" customHeight="1">
      <c r="A83" s="34" t="s">
        <v>121</v>
      </c>
      <c r="B83" s="34"/>
      <c r="C83" s="34"/>
      <c r="D83" s="34"/>
      <c r="E83" s="34"/>
      <c r="F83" s="34"/>
      <c r="G83" s="29" t="s">
        <v>92</v>
      </c>
      <c r="H83" s="29"/>
      <c r="I83" s="29" t="s">
        <v>142</v>
      </c>
      <c r="J83" s="29"/>
      <c r="K83" s="30" t="s">
        <v>122</v>
      </c>
      <c r="L83" s="30"/>
      <c r="M83" s="31">
        <f>25090</f>
        <v>25090</v>
      </c>
      <c r="N83" s="31"/>
      <c r="O83" s="31">
        <f>25090</f>
        <v>25090</v>
      </c>
      <c r="P83" s="31"/>
      <c r="Q83" s="31"/>
      <c r="R83" s="31"/>
      <c r="S83" s="31"/>
      <c r="T83" s="33">
        <f>0</f>
        <v>0</v>
      </c>
      <c r="U83" s="33"/>
    </row>
    <row r="84" spans="1:21" s="1" customFormat="1" ht="13.5" customHeight="1">
      <c r="A84" s="34" t="s">
        <v>119</v>
      </c>
      <c r="B84" s="34"/>
      <c r="C84" s="34"/>
      <c r="D84" s="34"/>
      <c r="E84" s="34"/>
      <c r="F84" s="34"/>
      <c r="G84" s="29" t="s">
        <v>92</v>
      </c>
      <c r="H84" s="29"/>
      <c r="I84" s="29" t="s">
        <v>143</v>
      </c>
      <c r="J84" s="29"/>
      <c r="K84" s="30" t="s">
        <v>120</v>
      </c>
      <c r="L84" s="30"/>
      <c r="M84" s="31">
        <f>150000</f>
        <v>150000</v>
      </c>
      <c r="N84" s="31"/>
      <c r="O84" s="31">
        <f>94545</f>
        <v>94545</v>
      </c>
      <c r="P84" s="31"/>
      <c r="Q84" s="31"/>
      <c r="R84" s="31"/>
      <c r="S84" s="31"/>
      <c r="T84" s="33">
        <f>55455</f>
        <v>55455</v>
      </c>
      <c r="U84" s="33"/>
    </row>
    <row r="85" spans="1:21" s="1" customFormat="1" ht="13.5" customHeight="1">
      <c r="A85" s="34" t="s">
        <v>110</v>
      </c>
      <c r="B85" s="34"/>
      <c r="C85" s="34"/>
      <c r="D85" s="34"/>
      <c r="E85" s="34"/>
      <c r="F85" s="34"/>
      <c r="G85" s="29" t="s">
        <v>92</v>
      </c>
      <c r="H85" s="29"/>
      <c r="I85" s="29" t="s">
        <v>144</v>
      </c>
      <c r="J85" s="29"/>
      <c r="K85" s="30" t="s">
        <v>112</v>
      </c>
      <c r="L85" s="30"/>
      <c r="M85" s="31">
        <f>94800</f>
        <v>94800</v>
      </c>
      <c r="N85" s="31"/>
      <c r="O85" s="31">
        <f>79000</f>
        <v>79000</v>
      </c>
      <c r="P85" s="31"/>
      <c r="Q85" s="31"/>
      <c r="R85" s="31"/>
      <c r="S85" s="31"/>
      <c r="T85" s="33">
        <f>15800</f>
        <v>15800</v>
      </c>
      <c r="U85" s="33"/>
    </row>
    <row r="86" spans="1:21" s="1" customFormat="1" ht="13.5" customHeight="1">
      <c r="A86" s="34" t="s">
        <v>110</v>
      </c>
      <c r="B86" s="34"/>
      <c r="C86" s="34"/>
      <c r="D86" s="34"/>
      <c r="E86" s="34"/>
      <c r="F86" s="34"/>
      <c r="G86" s="29" t="s">
        <v>92</v>
      </c>
      <c r="H86" s="29"/>
      <c r="I86" s="29" t="s">
        <v>145</v>
      </c>
      <c r="J86" s="29"/>
      <c r="K86" s="30" t="s">
        <v>112</v>
      </c>
      <c r="L86" s="30"/>
      <c r="M86" s="31">
        <f>941</f>
        <v>941</v>
      </c>
      <c r="N86" s="31"/>
      <c r="O86" s="31">
        <f>941</f>
        <v>941</v>
      </c>
      <c r="P86" s="31"/>
      <c r="Q86" s="31"/>
      <c r="R86" s="31"/>
      <c r="S86" s="31"/>
      <c r="T86" s="33">
        <f>0</f>
        <v>0</v>
      </c>
      <c r="U86" s="33"/>
    </row>
    <row r="87" spans="1:21" s="1" customFormat="1" ht="13.5" customHeight="1">
      <c r="A87" s="34" t="s">
        <v>107</v>
      </c>
      <c r="B87" s="34"/>
      <c r="C87" s="34"/>
      <c r="D87" s="34"/>
      <c r="E87" s="34"/>
      <c r="F87" s="34"/>
      <c r="G87" s="29" t="s">
        <v>92</v>
      </c>
      <c r="H87" s="29"/>
      <c r="I87" s="29" t="s">
        <v>145</v>
      </c>
      <c r="J87" s="29"/>
      <c r="K87" s="30" t="s">
        <v>109</v>
      </c>
      <c r="L87" s="30"/>
      <c r="M87" s="31">
        <f>8749</f>
        <v>8749</v>
      </c>
      <c r="N87" s="31"/>
      <c r="O87" s="31">
        <f>8749</f>
        <v>8749</v>
      </c>
      <c r="P87" s="31"/>
      <c r="Q87" s="31"/>
      <c r="R87" s="31"/>
      <c r="S87" s="31"/>
      <c r="T87" s="33">
        <f>0</f>
        <v>0</v>
      </c>
      <c r="U87" s="33"/>
    </row>
    <row r="88" spans="1:21" s="1" customFormat="1" ht="13.5" customHeight="1">
      <c r="A88" s="34" t="s">
        <v>110</v>
      </c>
      <c r="B88" s="34"/>
      <c r="C88" s="34"/>
      <c r="D88" s="34"/>
      <c r="E88" s="34"/>
      <c r="F88" s="34"/>
      <c r="G88" s="29" t="s">
        <v>92</v>
      </c>
      <c r="H88" s="29"/>
      <c r="I88" s="29" t="s">
        <v>146</v>
      </c>
      <c r="J88" s="29"/>
      <c r="K88" s="30" t="s">
        <v>112</v>
      </c>
      <c r="L88" s="30"/>
      <c r="M88" s="31">
        <f>403</f>
        <v>403</v>
      </c>
      <c r="N88" s="31"/>
      <c r="O88" s="31">
        <f>403</f>
        <v>403</v>
      </c>
      <c r="P88" s="31"/>
      <c r="Q88" s="31"/>
      <c r="R88" s="31"/>
      <c r="S88" s="31"/>
      <c r="T88" s="33">
        <f>0</f>
        <v>0</v>
      </c>
      <c r="U88" s="33"/>
    </row>
    <row r="89" spans="1:21" s="1" customFormat="1" ht="13.5" customHeight="1">
      <c r="A89" s="34" t="s">
        <v>107</v>
      </c>
      <c r="B89" s="34"/>
      <c r="C89" s="34"/>
      <c r="D89" s="34"/>
      <c r="E89" s="34"/>
      <c r="F89" s="34"/>
      <c r="G89" s="29" t="s">
        <v>92</v>
      </c>
      <c r="H89" s="29"/>
      <c r="I89" s="29" t="s">
        <v>146</v>
      </c>
      <c r="J89" s="29"/>
      <c r="K89" s="30" t="s">
        <v>109</v>
      </c>
      <c r="L89" s="30"/>
      <c r="M89" s="31">
        <f>3747</f>
        <v>3747</v>
      </c>
      <c r="N89" s="31"/>
      <c r="O89" s="31">
        <f>3747</f>
        <v>3747</v>
      </c>
      <c r="P89" s="31"/>
      <c r="Q89" s="31"/>
      <c r="R89" s="31"/>
      <c r="S89" s="31"/>
      <c r="T89" s="33">
        <f>0</f>
        <v>0</v>
      </c>
      <c r="U89" s="33"/>
    </row>
    <row r="90" spans="1:21" s="1" customFormat="1" ht="13.5" customHeight="1">
      <c r="A90" s="34" t="s">
        <v>110</v>
      </c>
      <c r="B90" s="34"/>
      <c r="C90" s="34"/>
      <c r="D90" s="34"/>
      <c r="E90" s="34"/>
      <c r="F90" s="34"/>
      <c r="G90" s="29" t="s">
        <v>92</v>
      </c>
      <c r="H90" s="29"/>
      <c r="I90" s="29" t="s">
        <v>147</v>
      </c>
      <c r="J90" s="29"/>
      <c r="K90" s="30" t="s">
        <v>112</v>
      </c>
      <c r="L90" s="30"/>
      <c r="M90" s="31">
        <f>3885170.71</f>
        <v>3885170.71</v>
      </c>
      <c r="N90" s="31"/>
      <c r="O90" s="31">
        <f>2970084.65</f>
        <v>2970084.65</v>
      </c>
      <c r="P90" s="31"/>
      <c r="Q90" s="31"/>
      <c r="R90" s="31"/>
      <c r="S90" s="31"/>
      <c r="T90" s="33">
        <f>915086.06</f>
        <v>915086.06</v>
      </c>
      <c r="U90" s="33"/>
    </row>
    <row r="91" spans="1:21" s="1" customFormat="1" ht="24" customHeight="1">
      <c r="A91" s="34" t="s">
        <v>148</v>
      </c>
      <c r="B91" s="34"/>
      <c r="C91" s="34"/>
      <c r="D91" s="34"/>
      <c r="E91" s="34"/>
      <c r="F91" s="34"/>
      <c r="G91" s="29" t="s">
        <v>92</v>
      </c>
      <c r="H91" s="29"/>
      <c r="I91" s="29" t="s">
        <v>149</v>
      </c>
      <c r="J91" s="29"/>
      <c r="K91" s="30" t="s">
        <v>150</v>
      </c>
      <c r="L91" s="30"/>
      <c r="M91" s="31">
        <f>1348945.71</f>
        <v>1348945.71</v>
      </c>
      <c r="N91" s="31"/>
      <c r="O91" s="31">
        <f>1237913.08</f>
        <v>1237913.08</v>
      </c>
      <c r="P91" s="31"/>
      <c r="Q91" s="31"/>
      <c r="R91" s="31"/>
      <c r="S91" s="31"/>
      <c r="T91" s="33">
        <f>111032.63</f>
        <v>111032.63</v>
      </c>
      <c r="U91" s="33"/>
    </row>
    <row r="92" spans="1:21" s="1" customFormat="1" ht="13.5" customHeight="1">
      <c r="A92" s="34" t="s">
        <v>119</v>
      </c>
      <c r="B92" s="34"/>
      <c r="C92" s="34"/>
      <c r="D92" s="34"/>
      <c r="E92" s="34"/>
      <c r="F92" s="34"/>
      <c r="G92" s="29" t="s">
        <v>92</v>
      </c>
      <c r="H92" s="29"/>
      <c r="I92" s="29" t="s">
        <v>151</v>
      </c>
      <c r="J92" s="29"/>
      <c r="K92" s="30" t="s">
        <v>120</v>
      </c>
      <c r="L92" s="30"/>
      <c r="M92" s="31">
        <f>6774967.64</f>
        <v>6774967.64</v>
      </c>
      <c r="N92" s="31"/>
      <c r="O92" s="31">
        <f>6165686.08</f>
        <v>6165686.08</v>
      </c>
      <c r="P92" s="31"/>
      <c r="Q92" s="31"/>
      <c r="R92" s="31"/>
      <c r="S92" s="31"/>
      <c r="T92" s="33">
        <f>609281.56</f>
        <v>609281.56</v>
      </c>
      <c r="U92" s="33"/>
    </row>
    <row r="93" spans="1:21" s="1" customFormat="1" ht="13.5" customHeight="1">
      <c r="A93" s="34" t="s">
        <v>119</v>
      </c>
      <c r="B93" s="34"/>
      <c r="C93" s="34"/>
      <c r="D93" s="34"/>
      <c r="E93" s="34"/>
      <c r="F93" s="34"/>
      <c r="G93" s="29" t="s">
        <v>92</v>
      </c>
      <c r="H93" s="29"/>
      <c r="I93" s="29" t="s">
        <v>152</v>
      </c>
      <c r="J93" s="29"/>
      <c r="K93" s="30" t="s">
        <v>120</v>
      </c>
      <c r="L93" s="30"/>
      <c r="M93" s="31">
        <f>17724831</f>
        <v>17724831</v>
      </c>
      <c r="N93" s="31"/>
      <c r="O93" s="31">
        <f>17724830.74</f>
        <v>17724830.74</v>
      </c>
      <c r="P93" s="31"/>
      <c r="Q93" s="31"/>
      <c r="R93" s="31"/>
      <c r="S93" s="31"/>
      <c r="T93" s="33">
        <f>0.26</f>
        <v>0.26</v>
      </c>
      <c r="U93" s="33"/>
    </row>
    <row r="94" spans="1:21" s="1" customFormat="1" ht="13.5" customHeight="1">
      <c r="A94" s="34" t="s">
        <v>123</v>
      </c>
      <c r="B94" s="34"/>
      <c r="C94" s="34"/>
      <c r="D94" s="34"/>
      <c r="E94" s="34"/>
      <c r="F94" s="34"/>
      <c r="G94" s="29" t="s">
        <v>92</v>
      </c>
      <c r="H94" s="29"/>
      <c r="I94" s="29" t="s">
        <v>153</v>
      </c>
      <c r="J94" s="29"/>
      <c r="K94" s="30" t="s">
        <v>124</v>
      </c>
      <c r="L94" s="30"/>
      <c r="M94" s="31">
        <f>130000</f>
        <v>130000</v>
      </c>
      <c r="N94" s="31"/>
      <c r="O94" s="31">
        <f>121833.41</f>
        <v>121833.41</v>
      </c>
      <c r="P94" s="31"/>
      <c r="Q94" s="31"/>
      <c r="R94" s="31"/>
      <c r="S94" s="31"/>
      <c r="T94" s="33">
        <f>8166.59</f>
        <v>8166.59</v>
      </c>
      <c r="U94" s="33"/>
    </row>
    <row r="95" spans="1:21" s="1" customFormat="1" ht="13.5" customHeight="1">
      <c r="A95" s="34" t="s">
        <v>119</v>
      </c>
      <c r="B95" s="34"/>
      <c r="C95" s="34"/>
      <c r="D95" s="34"/>
      <c r="E95" s="34"/>
      <c r="F95" s="34"/>
      <c r="G95" s="29" t="s">
        <v>92</v>
      </c>
      <c r="H95" s="29"/>
      <c r="I95" s="29" t="s">
        <v>154</v>
      </c>
      <c r="J95" s="29"/>
      <c r="K95" s="30" t="s">
        <v>120</v>
      </c>
      <c r="L95" s="30"/>
      <c r="M95" s="31">
        <f>13461.25</f>
        <v>13461.25</v>
      </c>
      <c r="N95" s="31"/>
      <c r="O95" s="31">
        <f>13461</f>
        <v>13461</v>
      </c>
      <c r="P95" s="31"/>
      <c r="Q95" s="31"/>
      <c r="R95" s="31"/>
      <c r="S95" s="31"/>
      <c r="T95" s="33">
        <f>0.25</f>
        <v>0.25</v>
      </c>
      <c r="U95" s="33"/>
    </row>
    <row r="96" spans="1:21" s="1" customFormat="1" ht="13.5" customHeight="1">
      <c r="A96" s="34" t="s">
        <v>123</v>
      </c>
      <c r="B96" s="34"/>
      <c r="C96" s="34"/>
      <c r="D96" s="34"/>
      <c r="E96" s="34"/>
      <c r="F96" s="34"/>
      <c r="G96" s="29" t="s">
        <v>92</v>
      </c>
      <c r="H96" s="29"/>
      <c r="I96" s="29" t="s">
        <v>154</v>
      </c>
      <c r="J96" s="29"/>
      <c r="K96" s="30" t="s">
        <v>124</v>
      </c>
      <c r="L96" s="30"/>
      <c r="M96" s="31">
        <f>46538.75</f>
        <v>46538.75</v>
      </c>
      <c r="N96" s="31"/>
      <c r="O96" s="31">
        <f>46504.75</f>
        <v>46504.75</v>
      </c>
      <c r="P96" s="31"/>
      <c r="Q96" s="31"/>
      <c r="R96" s="31"/>
      <c r="S96" s="31"/>
      <c r="T96" s="33">
        <f>34</f>
        <v>34</v>
      </c>
      <c r="U96" s="33"/>
    </row>
    <row r="97" spans="1:21" s="1" customFormat="1" ht="13.5" customHeight="1">
      <c r="A97" s="34" t="s">
        <v>114</v>
      </c>
      <c r="B97" s="34"/>
      <c r="C97" s="34"/>
      <c r="D97" s="34"/>
      <c r="E97" s="34"/>
      <c r="F97" s="34"/>
      <c r="G97" s="29" t="s">
        <v>92</v>
      </c>
      <c r="H97" s="29"/>
      <c r="I97" s="29" t="s">
        <v>155</v>
      </c>
      <c r="J97" s="29"/>
      <c r="K97" s="30" t="s">
        <v>116</v>
      </c>
      <c r="L97" s="30"/>
      <c r="M97" s="31">
        <f>153138.57</f>
        <v>153138.57</v>
      </c>
      <c r="N97" s="31"/>
      <c r="O97" s="31">
        <f>90610.02</f>
        <v>90610.02</v>
      </c>
      <c r="P97" s="31"/>
      <c r="Q97" s="31"/>
      <c r="R97" s="31"/>
      <c r="S97" s="31"/>
      <c r="T97" s="33">
        <f>62528.55</f>
        <v>62528.55</v>
      </c>
      <c r="U97" s="33"/>
    </row>
    <row r="98" spans="1:21" s="1" customFormat="1" ht="13.5" customHeight="1">
      <c r="A98" s="34" t="s">
        <v>110</v>
      </c>
      <c r="B98" s="34"/>
      <c r="C98" s="34"/>
      <c r="D98" s="34"/>
      <c r="E98" s="34"/>
      <c r="F98" s="34"/>
      <c r="G98" s="29" t="s">
        <v>92</v>
      </c>
      <c r="H98" s="29"/>
      <c r="I98" s="29" t="s">
        <v>156</v>
      </c>
      <c r="J98" s="29"/>
      <c r="K98" s="30" t="s">
        <v>112</v>
      </c>
      <c r="L98" s="30"/>
      <c r="M98" s="31">
        <f>209582.65</f>
        <v>209582.65</v>
      </c>
      <c r="N98" s="31"/>
      <c r="O98" s="31">
        <f>160618.35</f>
        <v>160618.35</v>
      </c>
      <c r="P98" s="31"/>
      <c r="Q98" s="31"/>
      <c r="R98" s="31"/>
      <c r="S98" s="31"/>
      <c r="T98" s="33">
        <f>48964.3</f>
        <v>48964.3</v>
      </c>
      <c r="U98" s="33"/>
    </row>
    <row r="99" spans="1:21" s="1" customFormat="1" ht="13.5" customHeight="1">
      <c r="A99" s="34" t="s">
        <v>121</v>
      </c>
      <c r="B99" s="34"/>
      <c r="C99" s="34"/>
      <c r="D99" s="34"/>
      <c r="E99" s="34"/>
      <c r="F99" s="34"/>
      <c r="G99" s="29" t="s">
        <v>92</v>
      </c>
      <c r="H99" s="29"/>
      <c r="I99" s="29" t="s">
        <v>156</v>
      </c>
      <c r="J99" s="29"/>
      <c r="K99" s="30" t="s">
        <v>122</v>
      </c>
      <c r="L99" s="30"/>
      <c r="M99" s="31">
        <f>104710</f>
        <v>104710</v>
      </c>
      <c r="N99" s="31"/>
      <c r="O99" s="31">
        <f>104710</f>
        <v>104710</v>
      </c>
      <c r="P99" s="31"/>
      <c r="Q99" s="31"/>
      <c r="R99" s="31"/>
      <c r="S99" s="31"/>
      <c r="T99" s="33">
        <f>0</f>
        <v>0</v>
      </c>
      <c r="U99" s="33"/>
    </row>
    <row r="100" spans="1:21" s="1" customFormat="1" ht="13.5" customHeight="1">
      <c r="A100" s="34" t="s">
        <v>123</v>
      </c>
      <c r="B100" s="34"/>
      <c r="C100" s="34"/>
      <c r="D100" s="34"/>
      <c r="E100" s="34"/>
      <c r="F100" s="34"/>
      <c r="G100" s="29" t="s">
        <v>92</v>
      </c>
      <c r="H100" s="29"/>
      <c r="I100" s="29" t="s">
        <v>156</v>
      </c>
      <c r="J100" s="29"/>
      <c r="K100" s="30" t="s">
        <v>124</v>
      </c>
      <c r="L100" s="30"/>
      <c r="M100" s="31">
        <f>82257.35</f>
        <v>82257.35</v>
      </c>
      <c r="N100" s="31"/>
      <c r="O100" s="31">
        <f>82257.35</f>
        <v>82257.35</v>
      </c>
      <c r="P100" s="31"/>
      <c r="Q100" s="31"/>
      <c r="R100" s="31"/>
      <c r="S100" s="31"/>
      <c r="T100" s="33">
        <f>0</f>
        <v>0</v>
      </c>
      <c r="U100" s="33"/>
    </row>
    <row r="101" spans="1:21" s="1" customFormat="1" ht="13.5" customHeight="1">
      <c r="A101" s="34" t="s">
        <v>110</v>
      </c>
      <c r="B101" s="34"/>
      <c r="C101" s="34"/>
      <c r="D101" s="34"/>
      <c r="E101" s="34"/>
      <c r="F101" s="34"/>
      <c r="G101" s="29" t="s">
        <v>92</v>
      </c>
      <c r="H101" s="29"/>
      <c r="I101" s="29" t="s">
        <v>157</v>
      </c>
      <c r="J101" s="29"/>
      <c r="K101" s="30" t="s">
        <v>112</v>
      </c>
      <c r="L101" s="30"/>
      <c r="M101" s="31">
        <f>143000</f>
        <v>143000</v>
      </c>
      <c r="N101" s="31"/>
      <c r="O101" s="31">
        <f>128000</f>
        <v>128000</v>
      </c>
      <c r="P101" s="31"/>
      <c r="Q101" s="31"/>
      <c r="R101" s="31"/>
      <c r="S101" s="31"/>
      <c r="T101" s="33">
        <f>15000</f>
        <v>15000</v>
      </c>
      <c r="U101" s="33"/>
    </row>
    <row r="102" spans="1:21" s="1" customFormat="1" ht="13.5" customHeight="1">
      <c r="A102" s="34" t="s">
        <v>119</v>
      </c>
      <c r="B102" s="34"/>
      <c r="C102" s="34"/>
      <c r="D102" s="34"/>
      <c r="E102" s="34"/>
      <c r="F102" s="34"/>
      <c r="G102" s="29" t="s">
        <v>92</v>
      </c>
      <c r="H102" s="29"/>
      <c r="I102" s="29" t="s">
        <v>158</v>
      </c>
      <c r="J102" s="29"/>
      <c r="K102" s="30" t="s">
        <v>120</v>
      </c>
      <c r="L102" s="30"/>
      <c r="M102" s="31">
        <f>279700</f>
        <v>279700</v>
      </c>
      <c r="N102" s="31"/>
      <c r="O102" s="31">
        <f>227633.86</f>
        <v>227633.86</v>
      </c>
      <c r="P102" s="31"/>
      <c r="Q102" s="31"/>
      <c r="R102" s="31"/>
      <c r="S102" s="31"/>
      <c r="T102" s="33">
        <f>52066.14</f>
        <v>52066.14</v>
      </c>
      <c r="U102" s="33"/>
    </row>
    <row r="103" spans="1:21" s="1" customFormat="1" ht="13.5" customHeight="1">
      <c r="A103" s="34" t="s">
        <v>119</v>
      </c>
      <c r="B103" s="34"/>
      <c r="C103" s="34"/>
      <c r="D103" s="34"/>
      <c r="E103" s="34"/>
      <c r="F103" s="34"/>
      <c r="G103" s="29" t="s">
        <v>92</v>
      </c>
      <c r="H103" s="29"/>
      <c r="I103" s="29" t="s">
        <v>159</v>
      </c>
      <c r="J103" s="29"/>
      <c r="K103" s="30" t="s">
        <v>120</v>
      </c>
      <c r="L103" s="30"/>
      <c r="M103" s="31">
        <f>158000</f>
        <v>158000</v>
      </c>
      <c r="N103" s="31"/>
      <c r="O103" s="31">
        <f>152547.72</f>
        <v>152547.72</v>
      </c>
      <c r="P103" s="31"/>
      <c r="Q103" s="31"/>
      <c r="R103" s="31"/>
      <c r="S103" s="31"/>
      <c r="T103" s="33">
        <f>5452.28</f>
        <v>5452.28</v>
      </c>
      <c r="U103" s="33"/>
    </row>
    <row r="104" spans="1:21" s="1" customFormat="1" ht="13.5" customHeight="1">
      <c r="A104" s="34" t="s">
        <v>107</v>
      </c>
      <c r="B104" s="34"/>
      <c r="C104" s="34"/>
      <c r="D104" s="34"/>
      <c r="E104" s="34"/>
      <c r="F104" s="34"/>
      <c r="G104" s="29" t="s">
        <v>92</v>
      </c>
      <c r="H104" s="29"/>
      <c r="I104" s="29" t="s">
        <v>160</v>
      </c>
      <c r="J104" s="29"/>
      <c r="K104" s="30" t="s">
        <v>109</v>
      </c>
      <c r="L104" s="30"/>
      <c r="M104" s="31">
        <f>1133371.27</f>
        <v>1133371.27</v>
      </c>
      <c r="N104" s="31"/>
      <c r="O104" s="31">
        <f>1133371.27</f>
        <v>1133371.27</v>
      </c>
      <c r="P104" s="31"/>
      <c r="Q104" s="31"/>
      <c r="R104" s="31"/>
      <c r="S104" s="31"/>
      <c r="T104" s="33">
        <f>0</f>
        <v>0</v>
      </c>
      <c r="U104" s="33"/>
    </row>
    <row r="105" spans="1:21" s="1" customFormat="1" ht="24" customHeight="1">
      <c r="A105" s="34" t="s">
        <v>148</v>
      </c>
      <c r="B105" s="34"/>
      <c r="C105" s="34"/>
      <c r="D105" s="34"/>
      <c r="E105" s="34"/>
      <c r="F105" s="34"/>
      <c r="G105" s="29" t="s">
        <v>92</v>
      </c>
      <c r="H105" s="29"/>
      <c r="I105" s="29" t="s">
        <v>161</v>
      </c>
      <c r="J105" s="29"/>
      <c r="K105" s="30" t="s">
        <v>150</v>
      </c>
      <c r="L105" s="30"/>
      <c r="M105" s="31">
        <f>229953</f>
        <v>229953</v>
      </c>
      <c r="N105" s="31"/>
      <c r="O105" s="35" t="s">
        <v>46</v>
      </c>
      <c r="P105" s="35"/>
      <c r="Q105" s="35"/>
      <c r="R105" s="35"/>
      <c r="S105" s="35"/>
      <c r="T105" s="33">
        <f>229953</f>
        <v>229953</v>
      </c>
      <c r="U105" s="33"/>
    </row>
    <row r="106" spans="1:21" s="1" customFormat="1" ht="13.5" customHeight="1">
      <c r="A106" s="34" t="s">
        <v>104</v>
      </c>
      <c r="B106" s="34"/>
      <c r="C106" s="34"/>
      <c r="D106" s="34"/>
      <c r="E106" s="34"/>
      <c r="F106" s="34"/>
      <c r="G106" s="29" t="s">
        <v>92</v>
      </c>
      <c r="H106" s="29"/>
      <c r="I106" s="29" t="s">
        <v>162</v>
      </c>
      <c r="J106" s="29"/>
      <c r="K106" s="30" t="s">
        <v>106</v>
      </c>
      <c r="L106" s="30"/>
      <c r="M106" s="31">
        <f>3800000</f>
        <v>3800000</v>
      </c>
      <c r="N106" s="31"/>
      <c r="O106" s="31">
        <f>3800000</f>
        <v>3800000</v>
      </c>
      <c r="P106" s="31"/>
      <c r="Q106" s="31"/>
      <c r="R106" s="31"/>
      <c r="S106" s="31"/>
      <c r="T106" s="33">
        <f>0</f>
        <v>0</v>
      </c>
      <c r="U106" s="33"/>
    </row>
    <row r="107" spans="1:21" s="1" customFormat="1" ht="13.5" customHeight="1">
      <c r="A107" s="34" t="s">
        <v>104</v>
      </c>
      <c r="B107" s="34"/>
      <c r="C107" s="34"/>
      <c r="D107" s="34"/>
      <c r="E107" s="34"/>
      <c r="F107" s="34"/>
      <c r="G107" s="29" t="s">
        <v>92</v>
      </c>
      <c r="H107" s="29"/>
      <c r="I107" s="29" t="s">
        <v>163</v>
      </c>
      <c r="J107" s="29"/>
      <c r="K107" s="30" t="s">
        <v>106</v>
      </c>
      <c r="L107" s="30"/>
      <c r="M107" s="31">
        <f>4162312.15</f>
        <v>4162312.15</v>
      </c>
      <c r="N107" s="31"/>
      <c r="O107" s="31">
        <f>2785242.5</f>
        <v>2785242.5</v>
      </c>
      <c r="P107" s="31"/>
      <c r="Q107" s="31"/>
      <c r="R107" s="31"/>
      <c r="S107" s="31"/>
      <c r="T107" s="33">
        <f>1377069.65</f>
        <v>1377069.65</v>
      </c>
      <c r="U107" s="33"/>
    </row>
    <row r="108" spans="1:21" s="1" customFormat="1" ht="13.5" customHeight="1">
      <c r="A108" s="34" t="s">
        <v>104</v>
      </c>
      <c r="B108" s="34"/>
      <c r="C108" s="34"/>
      <c r="D108" s="34"/>
      <c r="E108" s="34"/>
      <c r="F108" s="34"/>
      <c r="G108" s="29" t="s">
        <v>92</v>
      </c>
      <c r="H108" s="29"/>
      <c r="I108" s="29" t="s">
        <v>164</v>
      </c>
      <c r="J108" s="29"/>
      <c r="K108" s="30" t="s">
        <v>106</v>
      </c>
      <c r="L108" s="30"/>
      <c r="M108" s="31">
        <f>219069.15</f>
        <v>219069.15</v>
      </c>
      <c r="N108" s="31"/>
      <c r="O108" s="31">
        <f>146591.8</f>
        <v>146591.8</v>
      </c>
      <c r="P108" s="31"/>
      <c r="Q108" s="31"/>
      <c r="R108" s="31"/>
      <c r="S108" s="31"/>
      <c r="T108" s="33">
        <f>72477.35</f>
        <v>72477.35</v>
      </c>
      <c r="U108" s="33"/>
    </row>
    <row r="109" spans="1:21" s="1" customFormat="1" ht="13.5" customHeight="1">
      <c r="A109" s="34" t="s">
        <v>117</v>
      </c>
      <c r="B109" s="34"/>
      <c r="C109" s="34"/>
      <c r="D109" s="34"/>
      <c r="E109" s="34"/>
      <c r="F109" s="34"/>
      <c r="G109" s="29" t="s">
        <v>92</v>
      </c>
      <c r="H109" s="29"/>
      <c r="I109" s="29" t="s">
        <v>165</v>
      </c>
      <c r="J109" s="29"/>
      <c r="K109" s="30" t="s">
        <v>118</v>
      </c>
      <c r="L109" s="30"/>
      <c r="M109" s="31">
        <f>817198.37</f>
        <v>817198.37</v>
      </c>
      <c r="N109" s="31"/>
      <c r="O109" s="31">
        <f>488172.56</f>
        <v>488172.56</v>
      </c>
      <c r="P109" s="31"/>
      <c r="Q109" s="31"/>
      <c r="R109" s="31"/>
      <c r="S109" s="31"/>
      <c r="T109" s="33">
        <f>329025.81</f>
        <v>329025.81</v>
      </c>
      <c r="U109" s="33"/>
    </row>
    <row r="110" spans="1:21" s="1" customFormat="1" ht="13.5" customHeight="1">
      <c r="A110" s="34" t="s">
        <v>119</v>
      </c>
      <c r="B110" s="34"/>
      <c r="C110" s="34"/>
      <c r="D110" s="34"/>
      <c r="E110" s="34"/>
      <c r="F110" s="34"/>
      <c r="G110" s="29" t="s">
        <v>92</v>
      </c>
      <c r="H110" s="29"/>
      <c r="I110" s="29" t="s">
        <v>165</v>
      </c>
      <c r="J110" s="29"/>
      <c r="K110" s="30" t="s">
        <v>120</v>
      </c>
      <c r="L110" s="30"/>
      <c r="M110" s="31">
        <f>50000</f>
        <v>50000</v>
      </c>
      <c r="N110" s="31"/>
      <c r="O110" s="31">
        <f>7351.09</f>
        <v>7351.09</v>
      </c>
      <c r="P110" s="31"/>
      <c r="Q110" s="31"/>
      <c r="R110" s="31"/>
      <c r="S110" s="31"/>
      <c r="T110" s="33">
        <f>42648.91</f>
        <v>42648.91</v>
      </c>
      <c r="U110" s="33"/>
    </row>
    <row r="111" spans="1:21" s="1" customFormat="1" ht="13.5" customHeight="1">
      <c r="A111" s="34" t="s">
        <v>123</v>
      </c>
      <c r="B111" s="34"/>
      <c r="C111" s="34"/>
      <c r="D111" s="34"/>
      <c r="E111" s="34"/>
      <c r="F111" s="34"/>
      <c r="G111" s="29" t="s">
        <v>92</v>
      </c>
      <c r="H111" s="29"/>
      <c r="I111" s="29" t="s">
        <v>166</v>
      </c>
      <c r="J111" s="29"/>
      <c r="K111" s="30" t="s">
        <v>124</v>
      </c>
      <c r="L111" s="30"/>
      <c r="M111" s="31">
        <f>50000</f>
        <v>50000</v>
      </c>
      <c r="N111" s="31"/>
      <c r="O111" s="31">
        <f>49994</f>
        <v>49994</v>
      </c>
      <c r="P111" s="31"/>
      <c r="Q111" s="31"/>
      <c r="R111" s="31"/>
      <c r="S111" s="31"/>
      <c r="T111" s="33">
        <f>6</f>
        <v>6</v>
      </c>
      <c r="U111" s="33"/>
    </row>
    <row r="112" spans="1:21" s="1" customFormat="1" ht="13.5" customHeight="1">
      <c r="A112" s="34" t="s">
        <v>119</v>
      </c>
      <c r="B112" s="34"/>
      <c r="C112" s="34"/>
      <c r="D112" s="34"/>
      <c r="E112" s="34"/>
      <c r="F112" s="34"/>
      <c r="G112" s="29" t="s">
        <v>92</v>
      </c>
      <c r="H112" s="29"/>
      <c r="I112" s="29" t="s">
        <v>167</v>
      </c>
      <c r="J112" s="29"/>
      <c r="K112" s="30" t="s">
        <v>120</v>
      </c>
      <c r="L112" s="30"/>
      <c r="M112" s="31">
        <f>367402.76</f>
        <v>367402.76</v>
      </c>
      <c r="N112" s="31"/>
      <c r="O112" s="31">
        <f>367402.76</f>
        <v>367402.76</v>
      </c>
      <c r="P112" s="31"/>
      <c r="Q112" s="31"/>
      <c r="R112" s="31"/>
      <c r="S112" s="31"/>
      <c r="T112" s="33">
        <f>0</f>
        <v>0</v>
      </c>
      <c r="U112" s="33"/>
    </row>
    <row r="113" spans="1:21" s="1" customFormat="1" ht="13.5" customHeight="1">
      <c r="A113" s="34" t="s">
        <v>119</v>
      </c>
      <c r="B113" s="34"/>
      <c r="C113" s="34"/>
      <c r="D113" s="34"/>
      <c r="E113" s="34"/>
      <c r="F113" s="34"/>
      <c r="G113" s="29" t="s">
        <v>92</v>
      </c>
      <c r="H113" s="29"/>
      <c r="I113" s="29" t="s">
        <v>168</v>
      </c>
      <c r="J113" s="29"/>
      <c r="K113" s="30" t="s">
        <v>120</v>
      </c>
      <c r="L113" s="30"/>
      <c r="M113" s="31">
        <f>2048088.13</f>
        <v>2048088.13</v>
      </c>
      <c r="N113" s="31"/>
      <c r="O113" s="31">
        <f>1952949.13</f>
        <v>1952949.13</v>
      </c>
      <c r="P113" s="31"/>
      <c r="Q113" s="31"/>
      <c r="R113" s="31"/>
      <c r="S113" s="31"/>
      <c r="T113" s="33">
        <f>95139</f>
        <v>95139</v>
      </c>
      <c r="U113" s="33"/>
    </row>
    <row r="114" spans="1:21" s="1" customFormat="1" ht="13.5" customHeight="1">
      <c r="A114" s="34" t="s">
        <v>121</v>
      </c>
      <c r="B114" s="34"/>
      <c r="C114" s="34"/>
      <c r="D114" s="34"/>
      <c r="E114" s="34"/>
      <c r="F114" s="34"/>
      <c r="G114" s="29" t="s">
        <v>92</v>
      </c>
      <c r="H114" s="29"/>
      <c r="I114" s="29" t="s">
        <v>168</v>
      </c>
      <c r="J114" s="29"/>
      <c r="K114" s="30" t="s">
        <v>122</v>
      </c>
      <c r="L114" s="30"/>
      <c r="M114" s="31">
        <f>100000</f>
        <v>100000</v>
      </c>
      <c r="N114" s="31"/>
      <c r="O114" s="31">
        <f>100000</f>
        <v>100000</v>
      </c>
      <c r="P114" s="31"/>
      <c r="Q114" s="31"/>
      <c r="R114" s="31"/>
      <c r="S114" s="31"/>
      <c r="T114" s="33">
        <f>0</f>
        <v>0</v>
      </c>
      <c r="U114" s="33"/>
    </row>
    <row r="115" spans="1:21" s="1" customFormat="1" ht="13.5" customHeight="1">
      <c r="A115" s="34" t="s">
        <v>123</v>
      </c>
      <c r="B115" s="34"/>
      <c r="C115" s="34"/>
      <c r="D115" s="34"/>
      <c r="E115" s="34"/>
      <c r="F115" s="34"/>
      <c r="G115" s="29" t="s">
        <v>92</v>
      </c>
      <c r="H115" s="29"/>
      <c r="I115" s="29" t="s">
        <v>168</v>
      </c>
      <c r="J115" s="29"/>
      <c r="K115" s="30" t="s">
        <v>124</v>
      </c>
      <c r="L115" s="30"/>
      <c r="M115" s="31">
        <f>25000</f>
        <v>25000</v>
      </c>
      <c r="N115" s="31"/>
      <c r="O115" s="31">
        <f>25000</f>
        <v>25000</v>
      </c>
      <c r="P115" s="31"/>
      <c r="Q115" s="31"/>
      <c r="R115" s="31"/>
      <c r="S115" s="31"/>
      <c r="T115" s="33">
        <f>0</f>
        <v>0</v>
      </c>
      <c r="U115" s="33"/>
    </row>
    <row r="116" spans="1:21" s="1" customFormat="1" ht="13.5" customHeight="1">
      <c r="A116" s="34" t="s">
        <v>119</v>
      </c>
      <c r="B116" s="34"/>
      <c r="C116" s="34"/>
      <c r="D116" s="34"/>
      <c r="E116" s="34"/>
      <c r="F116" s="34"/>
      <c r="G116" s="29" t="s">
        <v>92</v>
      </c>
      <c r="H116" s="29"/>
      <c r="I116" s="29" t="s">
        <v>169</v>
      </c>
      <c r="J116" s="29"/>
      <c r="K116" s="30" t="s">
        <v>120</v>
      </c>
      <c r="L116" s="30"/>
      <c r="M116" s="31">
        <f>374530</f>
        <v>374530</v>
      </c>
      <c r="N116" s="31"/>
      <c r="O116" s="31">
        <f>338112.99</f>
        <v>338112.99</v>
      </c>
      <c r="P116" s="31"/>
      <c r="Q116" s="31"/>
      <c r="R116" s="31"/>
      <c r="S116" s="31"/>
      <c r="T116" s="33">
        <f>36417.01</f>
        <v>36417.01</v>
      </c>
      <c r="U116" s="33"/>
    </row>
    <row r="117" spans="1:21" s="1" customFormat="1" ht="13.5" customHeight="1">
      <c r="A117" s="34" t="s">
        <v>107</v>
      </c>
      <c r="B117" s="34"/>
      <c r="C117" s="34"/>
      <c r="D117" s="34"/>
      <c r="E117" s="34"/>
      <c r="F117" s="34"/>
      <c r="G117" s="29" t="s">
        <v>92</v>
      </c>
      <c r="H117" s="29"/>
      <c r="I117" s="29" t="s">
        <v>169</v>
      </c>
      <c r="J117" s="29"/>
      <c r="K117" s="30" t="s">
        <v>109</v>
      </c>
      <c r="L117" s="30"/>
      <c r="M117" s="31">
        <f>50000</f>
        <v>50000</v>
      </c>
      <c r="N117" s="31"/>
      <c r="O117" s="35" t="s">
        <v>46</v>
      </c>
      <c r="P117" s="35"/>
      <c r="Q117" s="35"/>
      <c r="R117" s="35"/>
      <c r="S117" s="35"/>
      <c r="T117" s="33">
        <f>50000</f>
        <v>50000</v>
      </c>
      <c r="U117" s="33"/>
    </row>
    <row r="118" spans="1:21" s="1" customFormat="1" ht="13.5" customHeight="1">
      <c r="A118" s="34" t="s">
        <v>123</v>
      </c>
      <c r="B118" s="34"/>
      <c r="C118" s="34"/>
      <c r="D118" s="34"/>
      <c r="E118" s="34"/>
      <c r="F118" s="34"/>
      <c r="G118" s="29" t="s">
        <v>92</v>
      </c>
      <c r="H118" s="29"/>
      <c r="I118" s="29" t="s">
        <v>169</v>
      </c>
      <c r="J118" s="29"/>
      <c r="K118" s="30" t="s">
        <v>124</v>
      </c>
      <c r="L118" s="30"/>
      <c r="M118" s="31">
        <f>250470</f>
        <v>250470</v>
      </c>
      <c r="N118" s="31"/>
      <c r="O118" s="31">
        <f>226002.52</f>
        <v>226002.52</v>
      </c>
      <c r="P118" s="31"/>
      <c r="Q118" s="31"/>
      <c r="R118" s="31"/>
      <c r="S118" s="31"/>
      <c r="T118" s="33">
        <f>24467.48</f>
        <v>24467.48</v>
      </c>
      <c r="U118" s="33"/>
    </row>
    <row r="119" spans="1:21" s="1" customFormat="1" ht="13.5" customHeight="1">
      <c r="A119" s="34" t="s">
        <v>104</v>
      </c>
      <c r="B119" s="34"/>
      <c r="C119" s="34"/>
      <c r="D119" s="34"/>
      <c r="E119" s="34"/>
      <c r="F119" s="34"/>
      <c r="G119" s="29" t="s">
        <v>92</v>
      </c>
      <c r="H119" s="29"/>
      <c r="I119" s="29" t="s">
        <v>170</v>
      </c>
      <c r="J119" s="29"/>
      <c r="K119" s="30" t="s">
        <v>106</v>
      </c>
      <c r="L119" s="30"/>
      <c r="M119" s="31">
        <f>316842</f>
        <v>316842</v>
      </c>
      <c r="N119" s="31"/>
      <c r="O119" s="31">
        <f>316842</f>
        <v>316842</v>
      </c>
      <c r="P119" s="31"/>
      <c r="Q119" s="31"/>
      <c r="R119" s="31"/>
      <c r="S119" s="31"/>
      <c r="T119" s="33">
        <f>0</f>
        <v>0</v>
      </c>
      <c r="U119" s="33"/>
    </row>
    <row r="120" spans="1:21" s="1" customFormat="1" ht="13.5" customHeight="1">
      <c r="A120" s="34" t="s">
        <v>93</v>
      </c>
      <c r="B120" s="34"/>
      <c r="C120" s="34"/>
      <c r="D120" s="34"/>
      <c r="E120" s="34"/>
      <c r="F120" s="34"/>
      <c r="G120" s="29" t="s">
        <v>92</v>
      </c>
      <c r="H120" s="29"/>
      <c r="I120" s="29" t="s">
        <v>171</v>
      </c>
      <c r="J120" s="29"/>
      <c r="K120" s="30" t="s">
        <v>95</v>
      </c>
      <c r="L120" s="30"/>
      <c r="M120" s="31">
        <f>296000</f>
        <v>296000</v>
      </c>
      <c r="N120" s="31"/>
      <c r="O120" s="31">
        <f>226082.13</f>
        <v>226082.13</v>
      </c>
      <c r="P120" s="31"/>
      <c r="Q120" s="31"/>
      <c r="R120" s="31"/>
      <c r="S120" s="31"/>
      <c r="T120" s="33">
        <f>69917.87</f>
        <v>69917.87</v>
      </c>
      <c r="U120" s="33"/>
    </row>
    <row r="121" spans="1:21" s="1" customFormat="1" ht="13.5" customHeight="1">
      <c r="A121" s="34" t="s">
        <v>100</v>
      </c>
      <c r="B121" s="34"/>
      <c r="C121" s="34"/>
      <c r="D121" s="34"/>
      <c r="E121" s="34"/>
      <c r="F121" s="34"/>
      <c r="G121" s="29" t="s">
        <v>92</v>
      </c>
      <c r="H121" s="29"/>
      <c r="I121" s="29" t="s">
        <v>172</v>
      </c>
      <c r="J121" s="29"/>
      <c r="K121" s="30" t="s">
        <v>102</v>
      </c>
      <c r="L121" s="30"/>
      <c r="M121" s="31">
        <f>9100</f>
        <v>9100</v>
      </c>
      <c r="N121" s="31"/>
      <c r="O121" s="31">
        <f>8841.5</f>
        <v>8841.5</v>
      </c>
      <c r="P121" s="31"/>
      <c r="Q121" s="31"/>
      <c r="R121" s="31"/>
      <c r="S121" s="31"/>
      <c r="T121" s="33">
        <f>258.5</f>
        <v>258.5</v>
      </c>
      <c r="U121" s="33"/>
    </row>
    <row r="122" spans="1:21" s="1" customFormat="1" ht="13.5" customHeight="1">
      <c r="A122" s="34" t="s">
        <v>96</v>
      </c>
      <c r="B122" s="34"/>
      <c r="C122" s="34"/>
      <c r="D122" s="34"/>
      <c r="E122" s="34"/>
      <c r="F122" s="34"/>
      <c r="G122" s="29" t="s">
        <v>92</v>
      </c>
      <c r="H122" s="29"/>
      <c r="I122" s="29" t="s">
        <v>173</v>
      </c>
      <c r="J122" s="29"/>
      <c r="K122" s="30" t="s">
        <v>98</v>
      </c>
      <c r="L122" s="30"/>
      <c r="M122" s="31">
        <f>89000</f>
        <v>89000</v>
      </c>
      <c r="N122" s="31"/>
      <c r="O122" s="31">
        <f>62194.07</f>
        <v>62194.07</v>
      </c>
      <c r="P122" s="31"/>
      <c r="Q122" s="31"/>
      <c r="R122" s="31"/>
      <c r="S122" s="31"/>
      <c r="T122" s="33">
        <f>26805.93</f>
        <v>26805.93</v>
      </c>
      <c r="U122" s="33"/>
    </row>
    <row r="123" spans="1:21" s="1" customFormat="1" ht="13.5" customHeight="1">
      <c r="A123" s="34" t="s">
        <v>110</v>
      </c>
      <c r="B123" s="34"/>
      <c r="C123" s="34"/>
      <c r="D123" s="34"/>
      <c r="E123" s="34"/>
      <c r="F123" s="34"/>
      <c r="G123" s="29" t="s">
        <v>92</v>
      </c>
      <c r="H123" s="29"/>
      <c r="I123" s="29" t="s">
        <v>174</v>
      </c>
      <c r="J123" s="29"/>
      <c r="K123" s="30" t="s">
        <v>112</v>
      </c>
      <c r="L123" s="30"/>
      <c r="M123" s="31">
        <f>16500</f>
        <v>16500</v>
      </c>
      <c r="N123" s="31"/>
      <c r="O123" s="31">
        <f>12900</f>
        <v>12900</v>
      </c>
      <c r="P123" s="31"/>
      <c r="Q123" s="31"/>
      <c r="R123" s="31"/>
      <c r="S123" s="31"/>
      <c r="T123" s="33">
        <f>3600</f>
        <v>3600</v>
      </c>
      <c r="U123" s="33"/>
    </row>
    <row r="124" spans="1:21" s="1" customFormat="1" ht="13.5" customHeight="1">
      <c r="A124" s="34" t="s">
        <v>107</v>
      </c>
      <c r="B124" s="34"/>
      <c r="C124" s="34"/>
      <c r="D124" s="34"/>
      <c r="E124" s="34"/>
      <c r="F124" s="34"/>
      <c r="G124" s="29" t="s">
        <v>92</v>
      </c>
      <c r="H124" s="29"/>
      <c r="I124" s="29" t="s">
        <v>175</v>
      </c>
      <c r="J124" s="29"/>
      <c r="K124" s="30" t="s">
        <v>109</v>
      </c>
      <c r="L124" s="30"/>
      <c r="M124" s="31">
        <f>6000</f>
        <v>6000</v>
      </c>
      <c r="N124" s="31"/>
      <c r="O124" s="31">
        <f>700</f>
        <v>700</v>
      </c>
      <c r="P124" s="31"/>
      <c r="Q124" s="31"/>
      <c r="R124" s="31"/>
      <c r="S124" s="31"/>
      <c r="T124" s="33">
        <f>5300</f>
        <v>5300</v>
      </c>
      <c r="U124" s="33"/>
    </row>
    <row r="125" spans="1:21" s="1" customFormat="1" ht="13.5" customHeight="1">
      <c r="A125" s="34" t="s">
        <v>107</v>
      </c>
      <c r="B125" s="34"/>
      <c r="C125" s="34"/>
      <c r="D125" s="34"/>
      <c r="E125" s="34"/>
      <c r="F125" s="34"/>
      <c r="G125" s="29" t="s">
        <v>92</v>
      </c>
      <c r="H125" s="29"/>
      <c r="I125" s="29" t="s">
        <v>176</v>
      </c>
      <c r="J125" s="29"/>
      <c r="K125" s="30" t="s">
        <v>109</v>
      </c>
      <c r="L125" s="30"/>
      <c r="M125" s="31">
        <f>20300</f>
        <v>20300</v>
      </c>
      <c r="N125" s="31"/>
      <c r="O125" s="31">
        <f>10392</f>
        <v>10392</v>
      </c>
      <c r="P125" s="31"/>
      <c r="Q125" s="31"/>
      <c r="R125" s="31"/>
      <c r="S125" s="31"/>
      <c r="T125" s="33">
        <f>9908</f>
        <v>9908</v>
      </c>
      <c r="U125" s="33"/>
    </row>
    <row r="126" spans="1:21" s="1" customFormat="1" ht="13.5" customHeight="1">
      <c r="A126" s="34" t="s">
        <v>123</v>
      </c>
      <c r="B126" s="34"/>
      <c r="C126" s="34"/>
      <c r="D126" s="34"/>
      <c r="E126" s="34"/>
      <c r="F126" s="34"/>
      <c r="G126" s="29" t="s">
        <v>92</v>
      </c>
      <c r="H126" s="29"/>
      <c r="I126" s="29" t="s">
        <v>177</v>
      </c>
      <c r="J126" s="29"/>
      <c r="K126" s="30" t="s">
        <v>124</v>
      </c>
      <c r="L126" s="30"/>
      <c r="M126" s="31">
        <f>9100</f>
        <v>9100</v>
      </c>
      <c r="N126" s="31"/>
      <c r="O126" s="31">
        <f>6290</f>
        <v>6290</v>
      </c>
      <c r="P126" s="31"/>
      <c r="Q126" s="31"/>
      <c r="R126" s="31"/>
      <c r="S126" s="31"/>
      <c r="T126" s="33">
        <f>2810</f>
        <v>2810</v>
      </c>
      <c r="U126" s="33"/>
    </row>
    <row r="127" spans="1:21" s="1" customFormat="1" ht="13.5" customHeight="1">
      <c r="A127" s="34" t="s">
        <v>110</v>
      </c>
      <c r="B127" s="34"/>
      <c r="C127" s="34"/>
      <c r="D127" s="34"/>
      <c r="E127" s="34"/>
      <c r="F127" s="34"/>
      <c r="G127" s="29" t="s">
        <v>92</v>
      </c>
      <c r="H127" s="29"/>
      <c r="I127" s="29" t="s">
        <v>178</v>
      </c>
      <c r="J127" s="29"/>
      <c r="K127" s="30" t="s">
        <v>112</v>
      </c>
      <c r="L127" s="30"/>
      <c r="M127" s="31">
        <f>33800</f>
        <v>33800</v>
      </c>
      <c r="N127" s="31"/>
      <c r="O127" s="31">
        <f>22500</f>
        <v>22500</v>
      </c>
      <c r="P127" s="31"/>
      <c r="Q127" s="31"/>
      <c r="R127" s="31"/>
      <c r="S127" s="31"/>
      <c r="T127" s="33">
        <f>11300</f>
        <v>11300</v>
      </c>
      <c r="U127" s="33"/>
    </row>
    <row r="128" spans="1:21" s="1" customFormat="1" ht="13.5" customHeight="1">
      <c r="A128" s="34" t="s">
        <v>121</v>
      </c>
      <c r="B128" s="34"/>
      <c r="C128" s="34"/>
      <c r="D128" s="34"/>
      <c r="E128" s="34"/>
      <c r="F128" s="34"/>
      <c r="G128" s="29" t="s">
        <v>92</v>
      </c>
      <c r="H128" s="29"/>
      <c r="I128" s="29" t="s">
        <v>179</v>
      </c>
      <c r="J128" s="29"/>
      <c r="K128" s="30" t="s">
        <v>122</v>
      </c>
      <c r="L128" s="30"/>
      <c r="M128" s="31">
        <f>400000</f>
        <v>400000</v>
      </c>
      <c r="N128" s="31"/>
      <c r="O128" s="31">
        <f>116516.59</f>
        <v>116516.59</v>
      </c>
      <c r="P128" s="31"/>
      <c r="Q128" s="31"/>
      <c r="R128" s="31"/>
      <c r="S128" s="31"/>
      <c r="T128" s="33">
        <f>283483.41</f>
        <v>283483.41</v>
      </c>
      <c r="U128" s="33"/>
    </row>
    <row r="129" spans="1:21" s="1" customFormat="1" ht="13.5" customHeight="1">
      <c r="A129" s="34" t="s">
        <v>123</v>
      </c>
      <c r="B129" s="34"/>
      <c r="C129" s="34"/>
      <c r="D129" s="34"/>
      <c r="E129" s="34"/>
      <c r="F129" s="34"/>
      <c r="G129" s="29" t="s">
        <v>92</v>
      </c>
      <c r="H129" s="29"/>
      <c r="I129" s="29" t="s">
        <v>179</v>
      </c>
      <c r="J129" s="29"/>
      <c r="K129" s="30" t="s">
        <v>124</v>
      </c>
      <c r="L129" s="30"/>
      <c r="M129" s="31">
        <f>49600</f>
        <v>49600</v>
      </c>
      <c r="N129" s="31"/>
      <c r="O129" s="31">
        <f>33060</f>
        <v>33060</v>
      </c>
      <c r="P129" s="31"/>
      <c r="Q129" s="31"/>
      <c r="R129" s="31"/>
      <c r="S129" s="31"/>
      <c r="T129" s="33">
        <f>16540</f>
        <v>16540</v>
      </c>
      <c r="U129" s="33"/>
    </row>
    <row r="130" spans="1:21" s="1" customFormat="1" ht="13.5" customHeight="1">
      <c r="A130" s="34" t="s">
        <v>121</v>
      </c>
      <c r="B130" s="34"/>
      <c r="C130" s="34"/>
      <c r="D130" s="34"/>
      <c r="E130" s="34"/>
      <c r="F130" s="34"/>
      <c r="G130" s="29" t="s">
        <v>92</v>
      </c>
      <c r="H130" s="29"/>
      <c r="I130" s="29" t="s">
        <v>180</v>
      </c>
      <c r="J130" s="29"/>
      <c r="K130" s="30" t="s">
        <v>122</v>
      </c>
      <c r="L130" s="30"/>
      <c r="M130" s="31">
        <f>146220</f>
        <v>146220</v>
      </c>
      <c r="N130" s="31"/>
      <c r="O130" s="31">
        <f>146220</f>
        <v>146220</v>
      </c>
      <c r="P130" s="31"/>
      <c r="Q130" s="31"/>
      <c r="R130" s="31"/>
      <c r="S130" s="31"/>
      <c r="T130" s="33">
        <f>0</f>
        <v>0</v>
      </c>
      <c r="U130" s="33"/>
    </row>
    <row r="131" spans="1:21" s="1" customFormat="1" ht="13.5" customHeight="1">
      <c r="A131" s="34" t="s">
        <v>123</v>
      </c>
      <c r="B131" s="34"/>
      <c r="C131" s="34"/>
      <c r="D131" s="34"/>
      <c r="E131" s="34"/>
      <c r="F131" s="34"/>
      <c r="G131" s="29" t="s">
        <v>92</v>
      </c>
      <c r="H131" s="29"/>
      <c r="I131" s="29" t="s">
        <v>180</v>
      </c>
      <c r="J131" s="29"/>
      <c r="K131" s="30" t="s">
        <v>124</v>
      </c>
      <c r="L131" s="30"/>
      <c r="M131" s="31">
        <f>3780</f>
        <v>3780</v>
      </c>
      <c r="N131" s="31"/>
      <c r="O131" s="31">
        <f>3780</f>
        <v>3780</v>
      </c>
      <c r="P131" s="31"/>
      <c r="Q131" s="31"/>
      <c r="R131" s="31"/>
      <c r="S131" s="31"/>
      <c r="T131" s="33">
        <f>0</f>
        <v>0</v>
      </c>
      <c r="U131" s="33"/>
    </row>
    <row r="132" spans="1:21" s="1" customFormat="1" ht="13.5" customHeight="1">
      <c r="A132" s="34" t="s">
        <v>93</v>
      </c>
      <c r="B132" s="34"/>
      <c r="C132" s="34"/>
      <c r="D132" s="34"/>
      <c r="E132" s="34"/>
      <c r="F132" s="34"/>
      <c r="G132" s="29" t="s">
        <v>92</v>
      </c>
      <c r="H132" s="29"/>
      <c r="I132" s="29" t="s">
        <v>181</v>
      </c>
      <c r="J132" s="29"/>
      <c r="K132" s="30" t="s">
        <v>95</v>
      </c>
      <c r="L132" s="30"/>
      <c r="M132" s="31">
        <f>2758600</f>
        <v>2758600</v>
      </c>
      <c r="N132" s="31"/>
      <c r="O132" s="31">
        <f>2425471.87</f>
        <v>2425471.87</v>
      </c>
      <c r="P132" s="31"/>
      <c r="Q132" s="31"/>
      <c r="R132" s="31"/>
      <c r="S132" s="31"/>
      <c r="T132" s="33">
        <f>333128.13</f>
        <v>333128.13</v>
      </c>
      <c r="U132" s="33"/>
    </row>
    <row r="133" spans="1:21" s="1" customFormat="1" ht="13.5" customHeight="1">
      <c r="A133" s="34" t="s">
        <v>100</v>
      </c>
      <c r="B133" s="34"/>
      <c r="C133" s="34"/>
      <c r="D133" s="34"/>
      <c r="E133" s="34"/>
      <c r="F133" s="34"/>
      <c r="G133" s="29" t="s">
        <v>92</v>
      </c>
      <c r="H133" s="29"/>
      <c r="I133" s="29" t="s">
        <v>182</v>
      </c>
      <c r="J133" s="29"/>
      <c r="K133" s="30" t="s">
        <v>102</v>
      </c>
      <c r="L133" s="30"/>
      <c r="M133" s="31">
        <f>240400</f>
        <v>240400</v>
      </c>
      <c r="N133" s="31"/>
      <c r="O133" s="31">
        <f>132746.2</f>
        <v>132746.2</v>
      </c>
      <c r="P133" s="31"/>
      <c r="Q133" s="31"/>
      <c r="R133" s="31"/>
      <c r="S133" s="31"/>
      <c r="T133" s="33">
        <f>107653.8</f>
        <v>107653.8</v>
      </c>
      <c r="U133" s="33"/>
    </row>
    <row r="134" spans="1:21" s="1" customFormat="1" ht="13.5" customHeight="1">
      <c r="A134" s="34" t="s">
        <v>96</v>
      </c>
      <c r="B134" s="34"/>
      <c r="C134" s="34"/>
      <c r="D134" s="34"/>
      <c r="E134" s="34"/>
      <c r="F134" s="34"/>
      <c r="G134" s="29" t="s">
        <v>92</v>
      </c>
      <c r="H134" s="29"/>
      <c r="I134" s="29" t="s">
        <v>183</v>
      </c>
      <c r="J134" s="29"/>
      <c r="K134" s="30" t="s">
        <v>98</v>
      </c>
      <c r="L134" s="30"/>
      <c r="M134" s="31">
        <f>833100</f>
        <v>833100</v>
      </c>
      <c r="N134" s="31"/>
      <c r="O134" s="31">
        <f>808706.52</f>
        <v>808706.52</v>
      </c>
      <c r="P134" s="31"/>
      <c r="Q134" s="31"/>
      <c r="R134" s="31"/>
      <c r="S134" s="31"/>
      <c r="T134" s="33">
        <f>24393.48</f>
        <v>24393.48</v>
      </c>
      <c r="U134" s="33"/>
    </row>
    <row r="135" spans="1:21" s="1" customFormat="1" ht="13.5" customHeight="1">
      <c r="A135" s="34" t="s">
        <v>114</v>
      </c>
      <c r="B135" s="34"/>
      <c r="C135" s="34"/>
      <c r="D135" s="34"/>
      <c r="E135" s="34"/>
      <c r="F135" s="34"/>
      <c r="G135" s="29" t="s">
        <v>92</v>
      </c>
      <c r="H135" s="29"/>
      <c r="I135" s="29" t="s">
        <v>184</v>
      </c>
      <c r="J135" s="29"/>
      <c r="K135" s="30" t="s">
        <v>116</v>
      </c>
      <c r="L135" s="30"/>
      <c r="M135" s="31">
        <f>51313.44</f>
        <v>51313.44</v>
      </c>
      <c r="N135" s="31"/>
      <c r="O135" s="31">
        <f>39060.85</f>
        <v>39060.85</v>
      </c>
      <c r="P135" s="31"/>
      <c r="Q135" s="31"/>
      <c r="R135" s="31"/>
      <c r="S135" s="31"/>
      <c r="T135" s="33">
        <f>12252.59</f>
        <v>12252.59</v>
      </c>
      <c r="U135" s="33"/>
    </row>
    <row r="136" spans="1:21" s="1" customFormat="1" ht="13.5" customHeight="1">
      <c r="A136" s="34" t="s">
        <v>114</v>
      </c>
      <c r="B136" s="34"/>
      <c r="C136" s="34"/>
      <c r="D136" s="34"/>
      <c r="E136" s="34"/>
      <c r="F136" s="34"/>
      <c r="G136" s="29" t="s">
        <v>92</v>
      </c>
      <c r="H136" s="29"/>
      <c r="I136" s="29" t="s">
        <v>185</v>
      </c>
      <c r="J136" s="29"/>
      <c r="K136" s="30" t="s">
        <v>116</v>
      </c>
      <c r="L136" s="30"/>
      <c r="M136" s="31">
        <f>1000</f>
        <v>1000</v>
      </c>
      <c r="N136" s="31"/>
      <c r="O136" s="35" t="s">
        <v>46</v>
      </c>
      <c r="P136" s="35"/>
      <c r="Q136" s="35"/>
      <c r="R136" s="35"/>
      <c r="S136" s="35"/>
      <c r="T136" s="33">
        <f>1000</f>
        <v>1000</v>
      </c>
      <c r="U136" s="33"/>
    </row>
    <row r="137" spans="1:21" s="1" customFormat="1" ht="13.5" customHeight="1">
      <c r="A137" s="34" t="s">
        <v>117</v>
      </c>
      <c r="B137" s="34"/>
      <c r="C137" s="34"/>
      <c r="D137" s="34"/>
      <c r="E137" s="34"/>
      <c r="F137" s="34"/>
      <c r="G137" s="29" t="s">
        <v>92</v>
      </c>
      <c r="H137" s="29"/>
      <c r="I137" s="29" t="s">
        <v>185</v>
      </c>
      <c r="J137" s="29"/>
      <c r="K137" s="30" t="s">
        <v>118</v>
      </c>
      <c r="L137" s="30"/>
      <c r="M137" s="31">
        <f>634090</f>
        <v>634090</v>
      </c>
      <c r="N137" s="31"/>
      <c r="O137" s="31">
        <f>455107.56</f>
        <v>455107.56</v>
      </c>
      <c r="P137" s="31"/>
      <c r="Q137" s="31"/>
      <c r="R137" s="31"/>
      <c r="S137" s="31"/>
      <c r="T137" s="33">
        <f>178982.44</f>
        <v>178982.44</v>
      </c>
      <c r="U137" s="33"/>
    </row>
    <row r="138" spans="1:21" s="1" customFormat="1" ht="13.5" customHeight="1">
      <c r="A138" s="34" t="s">
        <v>119</v>
      </c>
      <c r="B138" s="34"/>
      <c r="C138" s="34"/>
      <c r="D138" s="34"/>
      <c r="E138" s="34"/>
      <c r="F138" s="34"/>
      <c r="G138" s="29" t="s">
        <v>92</v>
      </c>
      <c r="H138" s="29"/>
      <c r="I138" s="29" t="s">
        <v>185</v>
      </c>
      <c r="J138" s="29"/>
      <c r="K138" s="30" t="s">
        <v>120</v>
      </c>
      <c r="L138" s="30"/>
      <c r="M138" s="31">
        <f>27600</f>
        <v>27600</v>
      </c>
      <c r="N138" s="31"/>
      <c r="O138" s="31">
        <f>15489.48</f>
        <v>15489.48</v>
      </c>
      <c r="P138" s="31"/>
      <c r="Q138" s="31"/>
      <c r="R138" s="31"/>
      <c r="S138" s="31"/>
      <c r="T138" s="33">
        <f>12110.52</f>
        <v>12110.52</v>
      </c>
      <c r="U138" s="33"/>
    </row>
    <row r="139" spans="1:21" s="1" customFormat="1" ht="13.5" customHeight="1">
      <c r="A139" s="34" t="s">
        <v>110</v>
      </c>
      <c r="B139" s="34"/>
      <c r="C139" s="34"/>
      <c r="D139" s="34"/>
      <c r="E139" s="34"/>
      <c r="F139" s="34"/>
      <c r="G139" s="29" t="s">
        <v>92</v>
      </c>
      <c r="H139" s="29"/>
      <c r="I139" s="29" t="s">
        <v>185</v>
      </c>
      <c r="J139" s="29"/>
      <c r="K139" s="30" t="s">
        <v>112</v>
      </c>
      <c r="L139" s="30"/>
      <c r="M139" s="31">
        <f>87200</f>
        <v>87200</v>
      </c>
      <c r="N139" s="31"/>
      <c r="O139" s="31">
        <f>24410</f>
        <v>24410</v>
      </c>
      <c r="P139" s="31"/>
      <c r="Q139" s="31"/>
      <c r="R139" s="31"/>
      <c r="S139" s="31"/>
      <c r="T139" s="33">
        <f>62790</f>
        <v>62790</v>
      </c>
      <c r="U139" s="33"/>
    </row>
    <row r="140" spans="1:21" s="1" customFormat="1" ht="13.5" customHeight="1">
      <c r="A140" s="34" t="s">
        <v>123</v>
      </c>
      <c r="B140" s="34"/>
      <c r="C140" s="34"/>
      <c r="D140" s="34"/>
      <c r="E140" s="34"/>
      <c r="F140" s="34"/>
      <c r="G140" s="29" t="s">
        <v>92</v>
      </c>
      <c r="H140" s="29"/>
      <c r="I140" s="29" t="s">
        <v>185</v>
      </c>
      <c r="J140" s="29"/>
      <c r="K140" s="30" t="s">
        <v>124</v>
      </c>
      <c r="L140" s="30"/>
      <c r="M140" s="31">
        <f>54400</f>
        <v>54400</v>
      </c>
      <c r="N140" s="31"/>
      <c r="O140" s="31">
        <f>26503</f>
        <v>26503</v>
      </c>
      <c r="P140" s="31"/>
      <c r="Q140" s="31"/>
      <c r="R140" s="31"/>
      <c r="S140" s="31"/>
      <c r="T140" s="33">
        <f>27897</f>
        <v>27897</v>
      </c>
      <c r="U140" s="33"/>
    </row>
    <row r="141" spans="1:21" s="1" customFormat="1" ht="13.5" customHeight="1">
      <c r="A141" s="34" t="s">
        <v>107</v>
      </c>
      <c r="B141" s="34"/>
      <c r="C141" s="34"/>
      <c r="D141" s="34"/>
      <c r="E141" s="34"/>
      <c r="F141" s="34"/>
      <c r="G141" s="29" t="s">
        <v>92</v>
      </c>
      <c r="H141" s="29"/>
      <c r="I141" s="29" t="s">
        <v>186</v>
      </c>
      <c r="J141" s="29"/>
      <c r="K141" s="30" t="s">
        <v>109</v>
      </c>
      <c r="L141" s="30"/>
      <c r="M141" s="31">
        <f>20000</f>
        <v>20000</v>
      </c>
      <c r="N141" s="31"/>
      <c r="O141" s="31">
        <f>12827</f>
        <v>12827</v>
      </c>
      <c r="P141" s="31"/>
      <c r="Q141" s="31"/>
      <c r="R141" s="31"/>
      <c r="S141" s="31"/>
      <c r="T141" s="33">
        <f>7173</f>
        <v>7173</v>
      </c>
      <c r="U141" s="33"/>
    </row>
    <row r="142" spans="1:21" s="1" customFormat="1" ht="13.5" customHeight="1">
      <c r="A142" s="34" t="s">
        <v>107</v>
      </c>
      <c r="B142" s="34"/>
      <c r="C142" s="34"/>
      <c r="D142" s="34"/>
      <c r="E142" s="34"/>
      <c r="F142" s="34"/>
      <c r="G142" s="29" t="s">
        <v>92</v>
      </c>
      <c r="H142" s="29"/>
      <c r="I142" s="29" t="s">
        <v>187</v>
      </c>
      <c r="J142" s="29"/>
      <c r="K142" s="30" t="s">
        <v>109</v>
      </c>
      <c r="L142" s="30"/>
      <c r="M142" s="31">
        <f>10000</f>
        <v>10000</v>
      </c>
      <c r="N142" s="31"/>
      <c r="O142" s="31">
        <f>9406.12</f>
        <v>9406.12</v>
      </c>
      <c r="P142" s="31"/>
      <c r="Q142" s="31"/>
      <c r="R142" s="31"/>
      <c r="S142" s="31"/>
      <c r="T142" s="33">
        <f>593.88</f>
        <v>593.88</v>
      </c>
      <c r="U142" s="33"/>
    </row>
    <row r="143" spans="1:21" s="1" customFormat="1" ht="13.5" customHeight="1">
      <c r="A143" s="34" t="s">
        <v>93</v>
      </c>
      <c r="B143" s="34"/>
      <c r="C143" s="34"/>
      <c r="D143" s="34"/>
      <c r="E143" s="34"/>
      <c r="F143" s="34"/>
      <c r="G143" s="29" t="s">
        <v>92</v>
      </c>
      <c r="H143" s="29"/>
      <c r="I143" s="29" t="s">
        <v>188</v>
      </c>
      <c r="J143" s="29"/>
      <c r="K143" s="30" t="s">
        <v>95</v>
      </c>
      <c r="L143" s="30"/>
      <c r="M143" s="31">
        <f>517400</f>
        <v>517400</v>
      </c>
      <c r="N143" s="31"/>
      <c r="O143" s="31">
        <f>245209.58</f>
        <v>245209.58</v>
      </c>
      <c r="P143" s="31"/>
      <c r="Q143" s="31"/>
      <c r="R143" s="31"/>
      <c r="S143" s="31"/>
      <c r="T143" s="33">
        <f>272190.42</f>
        <v>272190.42</v>
      </c>
      <c r="U143" s="33"/>
    </row>
    <row r="144" spans="1:21" s="1" customFormat="1" ht="13.5" customHeight="1">
      <c r="A144" s="34" t="s">
        <v>96</v>
      </c>
      <c r="B144" s="34"/>
      <c r="C144" s="34"/>
      <c r="D144" s="34"/>
      <c r="E144" s="34"/>
      <c r="F144" s="34"/>
      <c r="G144" s="29" t="s">
        <v>92</v>
      </c>
      <c r="H144" s="29"/>
      <c r="I144" s="29" t="s">
        <v>189</v>
      </c>
      <c r="J144" s="29"/>
      <c r="K144" s="30" t="s">
        <v>98</v>
      </c>
      <c r="L144" s="30"/>
      <c r="M144" s="31">
        <f>156200</f>
        <v>156200</v>
      </c>
      <c r="N144" s="31"/>
      <c r="O144" s="31">
        <f>67630.37</f>
        <v>67630.37</v>
      </c>
      <c r="P144" s="31"/>
      <c r="Q144" s="31"/>
      <c r="R144" s="31"/>
      <c r="S144" s="31"/>
      <c r="T144" s="33">
        <f>88569.63</f>
        <v>88569.63</v>
      </c>
      <c r="U144" s="33"/>
    </row>
    <row r="145" spans="1:21" s="1" customFormat="1" ht="13.5" customHeight="1">
      <c r="A145" s="34" t="s">
        <v>93</v>
      </c>
      <c r="B145" s="34"/>
      <c r="C145" s="34"/>
      <c r="D145" s="34"/>
      <c r="E145" s="34"/>
      <c r="F145" s="34"/>
      <c r="G145" s="29" t="s">
        <v>92</v>
      </c>
      <c r="H145" s="29"/>
      <c r="I145" s="29" t="s">
        <v>190</v>
      </c>
      <c r="J145" s="29"/>
      <c r="K145" s="30" t="s">
        <v>95</v>
      </c>
      <c r="L145" s="30"/>
      <c r="M145" s="31">
        <f>27300</f>
        <v>27300</v>
      </c>
      <c r="N145" s="31"/>
      <c r="O145" s="31">
        <f>13038.43</f>
        <v>13038.43</v>
      </c>
      <c r="P145" s="31"/>
      <c r="Q145" s="31"/>
      <c r="R145" s="31"/>
      <c r="S145" s="31"/>
      <c r="T145" s="33">
        <f>14261.57</f>
        <v>14261.57</v>
      </c>
      <c r="U145" s="33"/>
    </row>
    <row r="146" spans="1:21" s="1" customFormat="1" ht="13.5" customHeight="1">
      <c r="A146" s="34" t="s">
        <v>96</v>
      </c>
      <c r="B146" s="34"/>
      <c r="C146" s="34"/>
      <c r="D146" s="34"/>
      <c r="E146" s="34"/>
      <c r="F146" s="34"/>
      <c r="G146" s="29" t="s">
        <v>92</v>
      </c>
      <c r="H146" s="29"/>
      <c r="I146" s="29" t="s">
        <v>191</v>
      </c>
      <c r="J146" s="29"/>
      <c r="K146" s="30" t="s">
        <v>98</v>
      </c>
      <c r="L146" s="30"/>
      <c r="M146" s="31">
        <f>8200</f>
        <v>8200</v>
      </c>
      <c r="N146" s="31"/>
      <c r="O146" s="31">
        <f>3559.49</f>
        <v>3559.49</v>
      </c>
      <c r="P146" s="31"/>
      <c r="Q146" s="31"/>
      <c r="R146" s="31"/>
      <c r="S146" s="31"/>
      <c r="T146" s="33">
        <f>4640.51</f>
        <v>4640.51</v>
      </c>
      <c r="U146" s="33"/>
    </row>
    <row r="147" spans="1:21" s="1" customFormat="1" ht="13.5" customHeight="1">
      <c r="A147" s="34" t="s">
        <v>119</v>
      </c>
      <c r="B147" s="34"/>
      <c r="C147" s="34"/>
      <c r="D147" s="34"/>
      <c r="E147" s="34"/>
      <c r="F147" s="34"/>
      <c r="G147" s="29" t="s">
        <v>92</v>
      </c>
      <c r="H147" s="29"/>
      <c r="I147" s="29" t="s">
        <v>192</v>
      </c>
      <c r="J147" s="29"/>
      <c r="K147" s="30" t="s">
        <v>120</v>
      </c>
      <c r="L147" s="30"/>
      <c r="M147" s="31">
        <f>8395175.94</f>
        <v>8395175.94</v>
      </c>
      <c r="N147" s="31"/>
      <c r="O147" s="31">
        <f>8360980.32</f>
        <v>8360980.32</v>
      </c>
      <c r="P147" s="31"/>
      <c r="Q147" s="31"/>
      <c r="R147" s="31"/>
      <c r="S147" s="31"/>
      <c r="T147" s="33">
        <f>34195.62</f>
        <v>34195.62</v>
      </c>
      <c r="U147" s="33"/>
    </row>
    <row r="148" spans="1:21" s="1" customFormat="1" ht="13.5" customHeight="1">
      <c r="A148" s="34" t="s">
        <v>119</v>
      </c>
      <c r="B148" s="34"/>
      <c r="C148" s="34"/>
      <c r="D148" s="34"/>
      <c r="E148" s="34"/>
      <c r="F148" s="34"/>
      <c r="G148" s="29" t="s">
        <v>92</v>
      </c>
      <c r="H148" s="29"/>
      <c r="I148" s="29" t="s">
        <v>193</v>
      </c>
      <c r="J148" s="29"/>
      <c r="K148" s="30" t="s">
        <v>120</v>
      </c>
      <c r="L148" s="30"/>
      <c r="M148" s="31">
        <f>85665.06</f>
        <v>85665.06</v>
      </c>
      <c r="N148" s="31"/>
      <c r="O148" s="31">
        <f>84454.35</f>
        <v>84454.35</v>
      </c>
      <c r="P148" s="31"/>
      <c r="Q148" s="31"/>
      <c r="R148" s="31"/>
      <c r="S148" s="31"/>
      <c r="T148" s="33">
        <f>1210.71</f>
        <v>1210.71</v>
      </c>
      <c r="U148" s="33"/>
    </row>
    <row r="149" spans="1:21" s="1" customFormat="1" ht="13.5" customHeight="1">
      <c r="A149" s="34" t="s">
        <v>107</v>
      </c>
      <c r="B149" s="34"/>
      <c r="C149" s="34"/>
      <c r="D149" s="34"/>
      <c r="E149" s="34"/>
      <c r="F149" s="34"/>
      <c r="G149" s="29" t="s">
        <v>92</v>
      </c>
      <c r="H149" s="29"/>
      <c r="I149" s="29" t="s">
        <v>194</v>
      </c>
      <c r="J149" s="29"/>
      <c r="K149" s="30" t="s">
        <v>109</v>
      </c>
      <c r="L149" s="30"/>
      <c r="M149" s="31">
        <f>47200</f>
        <v>47200</v>
      </c>
      <c r="N149" s="31"/>
      <c r="O149" s="31">
        <f>38612.26</f>
        <v>38612.26</v>
      </c>
      <c r="P149" s="31"/>
      <c r="Q149" s="31"/>
      <c r="R149" s="31"/>
      <c r="S149" s="31"/>
      <c r="T149" s="33">
        <f>8587.74</f>
        <v>8587.74</v>
      </c>
      <c r="U149" s="33"/>
    </row>
    <row r="150" spans="1:21" s="1" customFormat="1" ht="13.5" customHeight="1">
      <c r="A150" s="34" t="s">
        <v>107</v>
      </c>
      <c r="B150" s="34"/>
      <c r="C150" s="34"/>
      <c r="D150" s="34"/>
      <c r="E150" s="34"/>
      <c r="F150" s="34"/>
      <c r="G150" s="29" t="s">
        <v>92</v>
      </c>
      <c r="H150" s="29"/>
      <c r="I150" s="29" t="s">
        <v>195</v>
      </c>
      <c r="J150" s="29"/>
      <c r="K150" s="30" t="s">
        <v>109</v>
      </c>
      <c r="L150" s="30"/>
      <c r="M150" s="31">
        <f>318200</f>
        <v>318200</v>
      </c>
      <c r="N150" s="31"/>
      <c r="O150" s="31">
        <f>313419</f>
        <v>313419</v>
      </c>
      <c r="P150" s="31"/>
      <c r="Q150" s="31"/>
      <c r="R150" s="31"/>
      <c r="S150" s="31"/>
      <c r="T150" s="33">
        <f>4781</f>
        <v>4781</v>
      </c>
      <c r="U150" s="33"/>
    </row>
    <row r="151" spans="1:21" s="1" customFormat="1" ht="24" customHeight="1">
      <c r="A151" s="34" t="s">
        <v>196</v>
      </c>
      <c r="B151" s="34"/>
      <c r="C151" s="34"/>
      <c r="D151" s="34"/>
      <c r="E151" s="34"/>
      <c r="F151" s="34"/>
      <c r="G151" s="29" t="s">
        <v>92</v>
      </c>
      <c r="H151" s="29"/>
      <c r="I151" s="29" t="s">
        <v>197</v>
      </c>
      <c r="J151" s="29"/>
      <c r="K151" s="30" t="s">
        <v>198</v>
      </c>
      <c r="L151" s="30"/>
      <c r="M151" s="31">
        <f>180000</f>
        <v>180000</v>
      </c>
      <c r="N151" s="31"/>
      <c r="O151" s="31">
        <f>165000</f>
        <v>165000</v>
      </c>
      <c r="P151" s="31"/>
      <c r="Q151" s="31"/>
      <c r="R151" s="31"/>
      <c r="S151" s="31"/>
      <c r="T151" s="33">
        <f>15000</f>
        <v>15000</v>
      </c>
      <c r="U151" s="33"/>
    </row>
    <row r="152" spans="1:21" s="1" customFormat="1" ht="13.5" customHeight="1">
      <c r="A152" s="34" t="s">
        <v>123</v>
      </c>
      <c r="B152" s="34"/>
      <c r="C152" s="34"/>
      <c r="D152" s="34"/>
      <c r="E152" s="34"/>
      <c r="F152" s="34"/>
      <c r="G152" s="29" t="s">
        <v>92</v>
      </c>
      <c r="H152" s="29"/>
      <c r="I152" s="29" t="s">
        <v>199</v>
      </c>
      <c r="J152" s="29"/>
      <c r="K152" s="30" t="s">
        <v>124</v>
      </c>
      <c r="L152" s="30"/>
      <c r="M152" s="31">
        <f>22600</f>
        <v>22600</v>
      </c>
      <c r="N152" s="31"/>
      <c r="O152" s="31">
        <f>22600</f>
        <v>22600</v>
      </c>
      <c r="P152" s="31"/>
      <c r="Q152" s="31"/>
      <c r="R152" s="31"/>
      <c r="S152" s="31"/>
      <c r="T152" s="33">
        <f>0</f>
        <v>0</v>
      </c>
      <c r="U152" s="33"/>
    </row>
    <row r="153" spans="1:21" s="1" customFormat="1" ht="13.5" customHeight="1">
      <c r="A153" s="34" t="s">
        <v>107</v>
      </c>
      <c r="B153" s="34"/>
      <c r="C153" s="34"/>
      <c r="D153" s="34"/>
      <c r="E153" s="34"/>
      <c r="F153" s="34"/>
      <c r="G153" s="29" t="s">
        <v>92</v>
      </c>
      <c r="H153" s="29"/>
      <c r="I153" s="29" t="s">
        <v>200</v>
      </c>
      <c r="J153" s="29"/>
      <c r="K153" s="30" t="s">
        <v>109</v>
      </c>
      <c r="L153" s="30"/>
      <c r="M153" s="31">
        <f>8800</f>
        <v>8800</v>
      </c>
      <c r="N153" s="31"/>
      <c r="O153" s="31">
        <f>7950.4</f>
        <v>7950.4</v>
      </c>
      <c r="P153" s="31"/>
      <c r="Q153" s="31"/>
      <c r="R153" s="31"/>
      <c r="S153" s="31"/>
      <c r="T153" s="33">
        <f>849.6</f>
        <v>849.6</v>
      </c>
      <c r="U153" s="33"/>
    </row>
    <row r="154" spans="1:21" s="1" customFormat="1" ht="13.5" customHeight="1">
      <c r="A154" s="34" t="s">
        <v>110</v>
      </c>
      <c r="B154" s="34"/>
      <c r="C154" s="34"/>
      <c r="D154" s="34"/>
      <c r="E154" s="34"/>
      <c r="F154" s="34"/>
      <c r="G154" s="29" t="s">
        <v>92</v>
      </c>
      <c r="H154" s="29"/>
      <c r="I154" s="29" t="s">
        <v>201</v>
      </c>
      <c r="J154" s="29"/>
      <c r="K154" s="30" t="s">
        <v>112</v>
      </c>
      <c r="L154" s="30"/>
      <c r="M154" s="31">
        <f>25000</f>
        <v>25000</v>
      </c>
      <c r="N154" s="31"/>
      <c r="O154" s="31">
        <f>1026.6</f>
        <v>1026.6</v>
      </c>
      <c r="P154" s="31"/>
      <c r="Q154" s="31"/>
      <c r="R154" s="31"/>
      <c r="S154" s="31"/>
      <c r="T154" s="33">
        <f>23973.4</f>
        <v>23973.4</v>
      </c>
      <c r="U154" s="33"/>
    </row>
    <row r="155" spans="1:21" s="1" customFormat="1" ht="15" customHeight="1">
      <c r="A155" s="36" t="s">
        <v>202</v>
      </c>
      <c r="B155" s="36"/>
      <c r="C155" s="36"/>
      <c r="D155" s="36"/>
      <c r="E155" s="36"/>
      <c r="F155" s="36"/>
      <c r="G155" s="37" t="s">
        <v>203</v>
      </c>
      <c r="H155" s="37"/>
      <c r="I155" s="37" t="s">
        <v>37</v>
      </c>
      <c r="J155" s="37"/>
      <c r="K155" s="38" t="s">
        <v>37</v>
      </c>
      <c r="L155" s="38"/>
      <c r="M155" s="39">
        <f>-3949922.82</f>
        <v>-3949922.82</v>
      </c>
      <c r="N155" s="39"/>
      <c r="O155" s="39">
        <f>1061189.52</f>
        <v>1061189.52</v>
      </c>
      <c r="P155" s="39"/>
      <c r="Q155" s="39"/>
      <c r="R155" s="39"/>
      <c r="S155" s="39"/>
      <c r="T155" s="40" t="s">
        <v>37</v>
      </c>
      <c r="U155" s="40"/>
    </row>
    <row r="156" spans="1:21" s="1" customFormat="1" ht="13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s="1" customFormat="1" ht="13.5" customHeight="1">
      <c r="A157" s="12" t="s">
        <v>204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s="1" customFormat="1" ht="45.75" customHeight="1">
      <c r="A158" s="13" t="s">
        <v>23</v>
      </c>
      <c r="B158" s="13"/>
      <c r="C158" s="13"/>
      <c r="D158" s="13"/>
      <c r="E158" s="13"/>
      <c r="F158" s="13"/>
      <c r="G158" s="13"/>
      <c r="H158" s="13" t="s">
        <v>24</v>
      </c>
      <c r="I158" s="13"/>
      <c r="J158" s="13" t="s">
        <v>205</v>
      </c>
      <c r="K158" s="13"/>
      <c r="L158" s="14" t="s">
        <v>26</v>
      </c>
      <c r="M158" s="14"/>
      <c r="N158" s="14" t="s">
        <v>27</v>
      </c>
      <c r="O158" s="14"/>
      <c r="P158" s="14"/>
      <c r="Q158" s="14"/>
      <c r="R158" s="14"/>
      <c r="S158" s="15" t="s">
        <v>28</v>
      </c>
      <c r="T158" s="15"/>
      <c r="U158" s="15"/>
    </row>
    <row r="159" spans="1:21" s="1" customFormat="1" ht="12.75" customHeight="1">
      <c r="A159" s="16" t="s">
        <v>29</v>
      </c>
      <c r="B159" s="16"/>
      <c r="C159" s="16"/>
      <c r="D159" s="16"/>
      <c r="E159" s="16"/>
      <c r="F159" s="16"/>
      <c r="G159" s="16"/>
      <c r="H159" s="16" t="s">
        <v>30</v>
      </c>
      <c r="I159" s="16"/>
      <c r="J159" s="16" t="s">
        <v>31</v>
      </c>
      <c r="K159" s="16"/>
      <c r="L159" s="17" t="s">
        <v>32</v>
      </c>
      <c r="M159" s="17"/>
      <c r="N159" s="17" t="s">
        <v>33</v>
      </c>
      <c r="O159" s="17"/>
      <c r="P159" s="17"/>
      <c r="Q159" s="17"/>
      <c r="R159" s="17"/>
      <c r="S159" s="18" t="s">
        <v>34</v>
      </c>
      <c r="T159" s="18"/>
      <c r="U159" s="18"/>
    </row>
    <row r="160" spans="1:21" s="1" customFormat="1" ht="13.5" customHeight="1">
      <c r="A160" s="19" t="s">
        <v>206</v>
      </c>
      <c r="B160" s="19"/>
      <c r="C160" s="19"/>
      <c r="D160" s="19"/>
      <c r="E160" s="19"/>
      <c r="F160" s="19"/>
      <c r="G160" s="19"/>
      <c r="H160" s="20" t="s">
        <v>207</v>
      </c>
      <c r="I160" s="20"/>
      <c r="J160" s="20" t="s">
        <v>37</v>
      </c>
      <c r="K160" s="20"/>
      <c r="L160" s="41">
        <f>3949922.82</f>
        <v>3949922.82</v>
      </c>
      <c r="M160" s="41"/>
      <c r="N160" s="21">
        <f>-1061189.52</f>
        <v>-1061189.52</v>
      </c>
      <c r="O160" s="21"/>
      <c r="P160" s="21"/>
      <c r="Q160" s="21"/>
      <c r="R160" s="21"/>
      <c r="S160" s="42">
        <f>5011112.34</f>
        <v>5011112.34</v>
      </c>
      <c r="T160" s="42"/>
      <c r="U160" s="42"/>
    </row>
    <row r="161" spans="1:21" s="1" customFormat="1" ht="13.5" customHeight="1">
      <c r="A161" s="43" t="s">
        <v>208</v>
      </c>
      <c r="B161" s="43"/>
      <c r="C161" s="43"/>
      <c r="D161" s="43"/>
      <c r="E161" s="43"/>
      <c r="F161" s="43"/>
      <c r="G161" s="43"/>
      <c r="H161" s="44"/>
      <c r="I161" s="44"/>
      <c r="J161" s="44"/>
      <c r="K161" s="44"/>
      <c r="L161" s="45"/>
      <c r="M161" s="45"/>
      <c r="N161" s="46"/>
      <c r="O161" s="46"/>
      <c r="P161" s="46"/>
      <c r="Q161" s="46"/>
      <c r="R161" s="46"/>
      <c r="S161" s="47"/>
      <c r="T161" s="47"/>
      <c r="U161" s="47"/>
    </row>
    <row r="162" spans="1:21" s="1" customFormat="1" ht="13.5" customHeight="1">
      <c r="A162" s="23" t="s">
        <v>209</v>
      </c>
      <c r="B162" s="23"/>
      <c r="C162" s="23"/>
      <c r="D162" s="23"/>
      <c r="E162" s="23"/>
      <c r="F162" s="23"/>
      <c r="G162" s="23"/>
      <c r="H162" s="48" t="s">
        <v>210</v>
      </c>
      <c r="I162" s="48"/>
      <c r="J162" s="24" t="s">
        <v>37</v>
      </c>
      <c r="K162" s="24"/>
      <c r="L162" s="49" t="s">
        <v>46</v>
      </c>
      <c r="M162" s="49"/>
      <c r="N162" s="27" t="s">
        <v>46</v>
      </c>
      <c r="O162" s="27"/>
      <c r="P162" s="27"/>
      <c r="Q162" s="27"/>
      <c r="R162" s="27"/>
      <c r="S162" s="50" t="s">
        <v>46</v>
      </c>
      <c r="T162" s="50"/>
      <c r="U162" s="50"/>
    </row>
    <row r="163" spans="1:21" s="1" customFormat="1" ht="13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s="1" customFormat="1" ht="13.5" customHeight="1">
      <c r="A164" s="34" t="s">
        <v>211</v>
      </c>
      <c r="B164" s="34"/>
      <c r="C164" s="34"/>
      <c r="D164" s="34"/>
      <c r="E164" s="34"/>
      <c r="F164" s="34"/>
      <c r="G164" s="34"/>
      <c r="H164" s="44" t="s">
        <v>212</v>
      </c>
      <c r="I164" s="44"/>
      <c r="J164" s="44" t="s">
        <v>37</v>
      </c>
      <c r="K164" s="44"/>
      <c r="L164" s="45" t="s">
        <v>46</v>
      </c>
      <c r="M164" s="45"/>
      <c r="N164" s="35" t="s">
        <v>46</v>
      </c>
      <c r="O164" s="35"/>
      <c r="P164" s="35"/>
      <c r="Q164" s="35"/>
      <c r="R164" s="35"/>
      <c r="S164" s="47" t="s">
        <v>46</v>
      </c>
      <c r="T164" s="47"/>
      <c r="U164" s="47"/>
    </row>
    <row r="165" spans="1:21" s="1" customFormat="1" ht="13.5" customHeight="1">
      <c r="A165" s="34"/>
      <c r="B165" s="34"/>
      <c r="C165" s="34"/>
      <c r="D165" s="34"/>
      <c r="E165" s="34"/>
      <c r="F165" s="34"/>
      <c r="G165" s="34"/>
      <c r="H165" s="29" t="s">
        <v>212</v>
      </c>
      <c r="I165" s="29"/>
      <c r="J165" s="29"/>
      <c r="K165" s="29"/>
      <c r="L165" s="51" t="s">
        <v>46</v>
      </c>
      <c r="M165" s="51"/>
      <c r="N165" s="35" t="s">
        <v>46</v>
      </c>
      <c r="O165" s="35"/>
      <c r="P165" s="35"/>
      <c r="Q165" s="35"/>
      <c r="R165" s="35"/>
      <c r="S165" s="52" t="s">
        <v>46</v>
      </c>
      <c r="T165" s="52"/>
      <c r="U165" s="52"/>
    </row>
    <row r="166" spans="1:21" s="1" customFormat="1" ht="13.5" customHeight="1">
      <c r="A166" s="34" t="s">
        <v>213</v>
      </c>
      <c r="B166" s="34"/>
      <c r="C166" s="34"/>
      <c r="D166" s="34"/>
      <c r="E166" s="34"/>
      <c r="F166" s="34"/>
      <c r="G166" s="34"/>
      <c r="H166" s="29" t="s">
        <v>214</v>
      </c>
      <c r="I166" s="29"/>
      <c r="J166" s="29" t="s">
        <v>215</v>
      </c>
      <c r="K166" s="29"/>
      <c r="L166" s="53">
        <f>3949922.82</f>
        <v>3949922.82</v>
      </c>
      <c r="M166" s="53"/>
      <c r="N166" s="31">
        <f>-1061189.52</f>
        <v>-1061189.52</v>
      </c>
      <c r="O166" s="31"/>
      <c r="P166" s="31"/>
      <c r="Q166" s="31"/>
      <c r="R166" s="31"/>
      <c r="S166" s="54">
        <f>5011112.34</f>
        <v>5011112.34</v>
      </c>
      <c r="T166" s="54"/>
      <c r="U166" s="54"/>
    </row>
    <row r="167" spans="1:21" s="1" customFormat="1" ht="13.5" customHeight="1">
      <c r="A167" s="34" t="s">
        <v>216</v>
      </c>
      <c r="B167" s="34"/>
      <c r="C167" s="34"/>
      <c r="D167" s="34"/>
      <c r="E167" s="34"/>
      <c r="F167" s="34"/>
      <c r="G167" s="34"/>
      <c r="H167" s="29" t="s">
        <v>217</v>
      </c>
      <c r="I167" s="29"/>
      <c r="J167" s="29" t="s">
        <v>223</v>
      </c>
      <c r="K167" s="29"/>
      <c r="L167" s="53">
        <f>-79992796.56</f>
        <v>-79992796.56</v>
      </c>
      <c r="M167" s="53"/>
      <c r="N167" s="31">
        <v>-75877433.94</v>
      </c>
      <c r="O167" s="31"/>
      <c r="P167" s="31"/>
      <c r="Q167" s="31"/>
      <c r="R167" s="31"/>
      <c r="S167" s="55" t="s">
        <v>37</v>
      </c>
      <c r="T167" s="55"/>
      <c r="U167" s="55"/>
    </row>
    <row r="168" spans="1:21" s="1" customFormat="1" ht="13.5" customHeight="1">
      <c r="A168" s="34" t="s">
        <v>218</v>
      </c>
      <c r="B168" s="34"/>
      <c r="C168" s="34"/>
      <c r="D168" s="34"/>
      <c r="E168" s="34"/>
      <c r="F168" s="34"/>
      <c r="G168" s="34"/>
      <c r="H168" s="29" t="s">
        <v>219</v>
      </c>
      <c r="I168" s="29"/>
      <c r="J168" s="29" t="s">
        <v>220</v>
      </c>
      <c r="K168" s="29"/>
      <c r="L168" s="53">
        <f>83942719.38</f>
        <v>83942719.38</v>
      </c>
      <c r="M168" s="53"/>
      <c r="N168" s="31">
        <v>74816244.42</v>
      </c>
      <c r="O168" s="31"/>
      <c r="P168" s="31"/>
      <c r="Q168" s="31"/>
      <c r="R168" s="31"/>
      <c r="S168" s="55" t="s">
        <v>37</v>
      </c>
      <c r="T168" s="55"/>
      <c r="U168" s="55"/>
    </row>
    <row r="169" spans="1:21" s="1" customFormat="1" ht="13.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 s="1" customFormat="1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1" customFormat="1" ht="13.5" customHeight="1">
      <c r="A171" s="57" t="s">
        <v>221</v>
      </c>
      <c r="B171" s="57"/>
      <c r="C171" s="57"/>
      <c r="D171" s="57"/>
      <c r="E171" s="57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s="1" customFormat="1" ht="13.5" customHeight="1">
      <c r="A172" s="9" t="s">
        <v>222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</sheetData>
  <sheetProtection selectLockedCells="1" selectUnlockedCells="1"/>
  <mergeCells count="1067">
    <mergeCell ref="A169:U169"/>
    <mergeCell ref="A170:U170"/>
    <mergeCell ref="A171:E171"/>
    <mergeCell ref="F171:U171"/>
    <mergeCell ref="A172:U172"/>
    <mergeCell ref="A168:G168"/>
    <mergeCell ref="H168:I168"/>
    <mergeCell ref="J168:K168"/>
    <mergeCell ref="L168:M168"/>
    <mergeCell ref="N168:R168"/>
    <mergeCell ref="S168:U168"/>
    <mergeCell ref="A167:G167"/>
    <mergeCell ref="H167:I167"/>
    <mergeCell ref="J167:K167"/>
    <mergeCell ref="L167:M167"/>
    <mergeCell ref="N167:R167"/>
    <mergeCell ref="S167:U167"/>
    <mergeCell ref="A166:G166"/>
    <mergeCell ref="H166:I166"/>
    <mergeCell ref="J166:K166"/>
    <mergeCell ref="L166:M166"/>
    <mergeCell ref="N166:R166"/>
    <mergeCell ref="S166:U166"/>
    <mergeCell ref="A165:G165"/>
    <mergeCell ref="H165:I165"/>
    <mergeCell ref="J165:K165"/>
    <mergeCell ref="L165:M165"/>
    <mergeCell ref="N165:R165"/>
    <mergeCell ref="S165:U165"/>
    <mergeCell ref="A163:U163"/>
    <mergeCell ref="A164:G164"/>
    <mergeCell ref="H164:I164"/>
    <mergeCell ref="J164:K164"/>
    <mergeCell ref="L164:M164"/>
    <mergeCell ref="N164:R164"/>
    <mergeCell ref="S164:U164"/>
    <mergeCell ref="A162:G162"/>
    <mergeCell ref="H162:I162"/>
    <mergeCell ref="J162:K162"/>
    <mergeCell ref="L162:M162"/>
    <mergeCell ref="N162:R162"/>
    <mergeCell ref="S162:U162"/>
    <mergeCell ref="A161:G161"/>
    <mergeCell ref="H161:I161"/>
    <mergeCell ref="J161:K161"/>
    <mergeCell ref="L161:M161"/>
    <mergeCell ref="N161:R161"/>
    <mergeCell ref="S161:U161"/>
    <mergeCell ref="A160:G160"/>
    <mergeCell ref="H160:I160"/>
    <mergeCell ref="J160:K160"/>
    <mergeCell ref="L160:M160"/>
    <mergeCell ref="N160:R160"/>
    <mergeCell ref="S160:U160"/>
    <mergeCell ref="A159:G159"/>
    <mergeCell ref="H159:I159"/>
    <mergeCell ref="J159:K159"/>
    <mergeCell ref="L159:M159"/>
    <mergeCell ref="N159:R159"/>
    <mergeCell ref="S159:U159"/>
    <mergeCell ref="A156:U156"/>
    <mergeCell ref="A157:U157"/>
    <mergeCell ref="A158:G158"/>
    <mergeCell ref="H158:I158"/>
    <mergeCell ref="J158:K158"/>
    <mergeCell ref="L158:M158"/>
    <mergeCell ref="N158:R158"/>
    <mergeCell ref="S158:U158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A37:U37"/>
    <mergeCell ref="A38:U38"/>
    <mergeCell ref="A39:F39"/>
    <mergeCell ref="G39:H39"/>
    <mergeCell ref="I39:J39"/>
    <mergeCell ref="K39:L39"/>
    <mergeCell ref="M39:N39"/>
    <mergeCell ref="O39:S39"/>
    <mergeCell ref="T39:U39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.5118110236220472" header="0.5118110236220472" footer="0.5118110236220472"/>
  <pageSetup fitToHeight="5" fitToWidth="1" horizontalDpi="300" verticalDpi="300" orientation="landscape" paperSize="9" scale="93" r:id="rId1"/>
  <rowBreaks count="2" manualBreakCount="2">
    <brk id="37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cp:lastPrinted>2017-01-08T10:15:29Z</cp:lastPrinted>
  <dcterms:modified xsi:type="dcterms:W3CDTF">2017-01-08T10:15:31Z</dcterms:modified>
  <cp:category/>
  <cp:version/>
  <cp:contentType/>
  <cp:contentStatus/>
</cp:coreProperties>
</file>