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30" yWindow="30" windowWidth="27870" windowHeight="12780" tabRatio="715" activeTab="5"/>
  </bookViews>
  <sheets>
    <sheet name="параметры" sheetId="1" r:id="rId1"/>
    <sheet name="1 часть дотации" sheetId="2" r:id="rId2"/>
    <sheet name="ИНП" sheetId="3" r:id="rId3"/>
    <sheet name="ИБР" sheetId="4" r:id="rId4"/>
    <sheet name="2 часть дотации (реальные пок2)" sheetId="9" state="hidden" r:id="rId5"/>
    <sheet name="2 часть дотации" sheetId="5" r:id="rId6"/>
  </sheets>
  <externalReferences>
    <externalReference r:id="rId7"/>
  </externalReferences>
  <definedNames>
    <definedName name="Z_302671BE_4EBD_4277_AB7D_2E6FD69B3D87_.wvu.PrintArea" localSheetId="5" hidden="1">'2 часть дотации'!$A$1:$AP$25</definedName>
    <definedName name="Z_302671BE_4EBD_4277_AB7D_2E6FD69B3D87_.wvu.PrintArea" localSheetId="4" hidden="1">'2 часть дотации (реальные пок2)'!$A$1:$AN$25</definedName>
    <definedName name="Z_302671BE_4EBD_4277_AB7D_2E6FD69B3D87_.wvu.PrintTitles" localSheetId="3" hidden="1">ИБР!$A:$B</definedName>
    <definedName name="Z_302671BE_4EBD_4277_AB7D_2E6FD69B3D87_.wvu.Rows" localSheetId="2" hidden="1">ИНП!#REF!</definedName>
    <definedName name="Z_CE336351_7BD3_4872_92F0_8965CF315520_.wvu.PrintArea" localSheetId="5" hidden="1">'2 часть дотации'!$A$1:$AP$25</definedName>
    <definedName name="Z_CE336351_7BD3_4872_92F0_8965CF315520_.wvu.PrintArea" localSheetId="4" hidden="1">'2 часть дотации (реальные пок2)'!$A$1:$AN$25</definedName>
    <definedName name="Z_CE336351_7BD3_4872_92F0_8965CF315520_.wvu.PrintTitles" localSheetId="3" hidden="1">ИБР!$A:$B</definedName>
    <definedName name="Z_CE336351_7BD3_4872_92F0_8965CF315520_.wvu.Rows" localSheetId="2" hidden="1">ИНП!#REF!</definedName>
    <definedName name="_xlnm.Print_Titles" localSheetId="3">ИБР!$A:$B</definedName>
    <definedName name="_xlnm.Print_Area" localSheetId="5">'2 часть дотации'!$A$2:$N$19</definedName>
    <definedName name="_xlnm.Print_Area" localSheetId="4">'2 часть дотации (реальные пок2)'!$A$1:$AN$25</definedName>
  </definedNames>
  <calcPr calcId="145621"/>
  <customWorkbookViews>
    <customWorkbookView name="022217 - Личное представление" guid="{CE336351-7BD3-4872-92F0-8965CF315520}" mergeInterval="0" personalView="1" maximized="1" windowWidth="1916" windowHeight="814" tabRatio="960" activeSheetId="6"/>
    <customWorkbookView name="23 - Личное представление" guid="{302671BE-4EBD-4277-AB7D-2E6FD69B3D87}" mergeInterval="0" personalView="1" maximized="1" windowWidth="1916" windowHeight="834" tabRatio="960" activeSheetId="2"/>
  </customWorkbookViews>
</workbook>
</file>

<file path=xl/calcChain.xml><?xml version="1.0" encoding="utf-8"?>
<calcChain xmlns="http://schemas.openxmlformats.org/spreadsheetml/2006/main">
  <c r="G18" i="1" l="1"/>
  <c r="G19" i="1"/>
  <c r="F21" i="1"/>
  <c r="D21" i="1"/>
  <c r="G14" i="1"/>
  <c r="G7" i="1" l="1"/>
  <c r="B5" i="1"/>
  <c r="H16" i="4" l="1"/>
  <c r="H15" i="4"/>
  <c r="H13" i="4"/>
  <c r="H12" i="4"/>
  <c r="H11" i="4"/>
  <c r="H10" i="4"/>
  <c r="H9" i="4"/>
  <c r="H8" i="4"/>
  <c r="H7" i="4"/>
  <c r="H14" i="4" l="1"/>
  <c r="B8" i="1" l="1"/>
  <c r="P9" i="5" l="1"/>
  <c r="B18" i="1" l="1"/>
  <c r="B12" i="1"/>
  <c r="C8" i="4" l="1"/>
  <c r="C9" i="4"/>
  <c r="C10" i="4"/>
  <c r="C11" i="4"/>
  <c r="C12" i="4"/>
  <c r="C13" i="4"/>
  <c r="C14" i="4"/>
  <c r="C15" i="4"/>
  <c r="C16" i="4"/>
  <c r="C7" i="4"/>
  <c r="N7" i="4" l="1"/>
  <c r="C10" i="3"/>
  <c r="C11" i="3"/>
  <c r="C12" i="3"/>
  <c r="C13" i="3"/>
  <c r="C14" i="3"/>
  <c r="C15" i="3"/>
  <c r="C16" i="3"/>
  <c r="C17" i="3"/>
  <c r="C18" i="3"/>
  <c r="C9" i="3"/>
  <c r="C19" i="3" l="1"/>
  <c r="B4" i="1" l="1"/>
  <c r="B9" i="1" s="1"/>
  <c r="D7" i="1" l="1"/>
  <c r="D6" i="1"/>
  <c r="G20" i="1"/>
  <c r="G13" i="1"/>
  <c r="G12" i="1"/>
  <c r="G6" i="1"/>
  <c r="F4" i="1" l="1"/>
  <c r="D5" i="1" l="1"/>
  <c r="G5" i="1"/>
  <c r="D4" i="1"/>
  <c r="T9" i="5" l="1"/>
  <c r="R10" i="5"/>
  <c r="R11" i="5"/>
  <c r="R12" i="5"/>
  <c r="R13" i="5"/>
  <c r="R14" i="5"/>
  <c r="R15" i="5"/>
  <c r="R16" i="5"/>
  <c r="R17" i="5"/>
  <c r="R18" i="5"/>
  <c r="R9" i="5"/>
  <c r="P10" i="5"/>
  <c r="P11" i="5"/>
  <c r="P12" i="5"/>
  <c r="P13" i="5"/>
  <c r="P14" i="5"/>
  <c r="P15" i="5"/>
  <c r="P16" i="5"/>
  <c r="P17" i="5"/>
  <c r="P18" i="5"/>
  <c r="M19" i="5"/>
  <c r="R19" i="5" l="1"/>
  <c r="P22" i="5"/>
  <c r="R22" i="5"/>
  <c r="D8" i="1" l="1"/>
  <c r="G8" i="1"/>
  <c r="AI19" i="9"/>
  <c r="AG19" i="9"/>
  <c r="AE19" i="9"/>
  <c r="AC19" i="9"/>
  <c r="AA19" i="9"/>
  <c r="Y19" i="9"/>
  <c r="W19" i="9"/>
  <c r="U19" i="9"/>
  <c r="S19" i="9"/>
  <c r="Q19" i="9"/>
  <c r="O19" i="9"/>
  <c r="M19" i="9"/>
  <c r="K19" i="9"/>
  <c r="D19" i="9"/>
  <c r="AJ18" i="9"/>
  <c r="AH18" i="9"/>
  <c r="AF18" i="9"/>
  <c r="AD18" i="9"/>
  <c r="AB18" i="9"/>
  <c r="Z18" i="9"/>
  <c r="X18" i="9"/>
  <c r="V18" i="9"/>
  <c r="T18" i="9"/>
  <c r="R18" i="9"/>
  <c r="P18" i="9"/>
  <c r="N18" i="9"/>
  <c r="C18" i="9"/>
  <c r="AJ17" i="9"/>
  <c r="AH17" i="9"/>
  <c r="AF17" i="9"/>
  <c r="AD17" i="9"/>
  <c r="AB17" i="9"/>
  <c r="Z17" i="9"/>
  <c r="X17" i="9"/>
  <c r="V17" i="9"/>
  <c r="T17" i="9"/>
  <c r="R17" i="9"/>
  <c r="P17" i="9"/>
  <c r="N17" i="9"/>
  <c r="C17" i="9"/>
  <c r="AJ16" i="9"/>
  <c r="AH16" i="9"/>
  <c r="AF16" i="9"/>
  <c r="AD16" i="9"/>
  <c r="AB16" i="9"/>
  <c r="Z16" i="9"/>
  <c r="X16" i="9"/>
  <c r="V16" i="9"/>
  <c r="T16" i="9"/>
  <c r="R16" i="9"/>
  <c r="P16" i="9"/>
  <c r="N16" i="9"/>
  <c r="C16" i="9"/>
  <c r="AJ15" i="9"/>
  <c r="AH15" i="9"/>
  <c r="AF15" i="9"/>
  <c r="AD15" i="9"/>
  <c r="AB15" i="9"/>
  <c r="Z15" i="9"/>
  <c r="X15" i="9"/>
  <c r="V15" i="9"/>
  <c r="T15" i="9"/>
  <c r="R15" i="9"/>
  <c r="P15" i="9"/>
  <c r="N15" i="9"/>
  <c r="C15" i="9"/>
  <c r="AJ14" i="9"/>
  <c r="AH14" i="9"/>
  <c r="AF14" i="9"/>
  <c r="AD14" i="9"/>
  <c r="AB14" i="9"/>
  <c r="Z14" i="9"/>
  <c r="X14" i="9"/>
  <c r="V14" i="9"/>
  <c r="T14" i="9"/>
  <c r="R14" i="9"/>
  <c r="P14" i="9"/>
  <c r="N14" i="9"/>
  <c r="C14" i="9"/>
  <c r="AJ13" i="9"/>
  <c r="AH13" i="9"/>
  <c r="AF13" i="9"/>
  <c r="AD13" i="9"/>
  <c r="AB13" i="9"/>
  <c r="Z13" i="9"/>
  <c r="X13" i="9"/>
  <c r="V13" i="9"/>
  <c r="T13" i="9"/>
  <c r="R13" i="9"/>
  <c r="P13" i="9"/>
  <c r="N13" i="9"/>
  <c r="C13" i="9"/>
  <c r="AJ12" i="9"/>
  <c r="AH12" i="9"/>
  <c r="AF12" i="9"/>
  <c r="AD12" i="9"/>
  <c r="AB12" i="9"/>
  <c r="Z12" i="9"/>
  <c r="X12" i="9"/>
  <c r="V12" i="9"/>
  <c r="T12" i="9"/>
  <c r="R12" i="9"/>
  <c r="P12" i="9"/>
  <c r="N12" i="9"/>
  <c r="C12" i="9"/>
  <c r="AJ11" i="9"/>
  <c r="AH11" i="9"/>
  <c r="AF11" i="9"/>
  <c r="AD11" i="9"/>
  <c r="AB11" i="9"/>
  <c r="Z11" i="9"/>
  <c r="X11" i="9"/>
  <c r="V11" i="9"/>
  <c r="T11" i="9"/>
  <c r="R11" i="9"/>
  <c r="P11" i="9"/>
  <c r="N11" i="9"/>
  <c r="C11" i="9"/>
  <c r="AJ10" i="9"/>
  <c r="AH10" i="9"/>
  <c r="AF10" i="9"/>
  <c r="AD10" i="9"/>
  <c r="AB10" i="9"/>
  <c r="Z10" i="9"/>
  <c r="X10" i="9"/>
  <c r="V10" i="9"/>
  <c r="T10" i="9"/>
  <c r="R10" i="9"/>
  <c r="P10" i="9"/>
  <c r="N10" i="9"/>
  <c r="C10" i="9"/>
  <c r="AJ9" i="9"/>
  <c r="AH9" i="9"/>
  <c r="AF9" i="9"/>
  <c r="AD9" i="9"/>
  <c r="AD19" i="9" s="1"/>
  <c r="AB9" i="9"/>
  <c r="Z9" i="9"/>
  <c r="X9" i="9"/>
  <c r="V9" i="9"/>
  <c r="T9" i="9"/>
  <c r="R9" i="9"/>
  <c r="P9" i="9"/>
  <c r="N9" i="9"/>
  <c r="C9" i="9"/>
  <c r="C19" i="9" l="1"/>
  <c r="P19" i="9"/>
  <c r="N19" i="9"/>
  <c r="V19" i="9"/>
  <c r="AB19" i="9"/>
  <c r="R19" i="9"/>
  <c r="X19" i="9"/>
  <c r="T19" i="9"/>
  <c r="Z19" i="9"/>
  <c r="AH19" i="9"/>
  <c r="AF19" i="9"/>
  <c r="E19" i="9"/>
  <c r="C10" i="5" l="1"/>
  <c r="C11" i="5"/>
  <c r="C12" i="5"/>
  <c r="C13" i="5"/>
  <c r="C14" i="5"/>
  <c r="C15" i="5"/>
  <c r="C16" i="5"/>
  <c r="C17" i="5"/>
  <c r="C18" i="5"/>
  <c r="C9" i="5"/>
  <c r="R17" i="4" l="1"/>
  <c r="O17" i="4"/>
  <c r="E17" i="4"/>
  <c r="M16" i="4"/>
  <c r="F16" i="4"/>
  <c r="M15" i="4"/>
  <c r="F15" i="4"/>
  <c r="M14" i="4"/>
  <c r="F14" i="4"/>
  <c r="M13" i="4"/>
  <c r="M12" i="4"/>
  <c r="M11" i="4"/>
  <c r="M10" i="4"/>
  <c r="F10" i="4"/>
  <c r="M9" i="4"/>
  <c r="M8" i="4"/>
  <c r="F8" i="4" l="1"/>
  <c r="F11" i="4"/>
  <c r="C17" i="4"/>
  <c r="S9" i="4" s="1"/>
  <c r="N9" i="4"/>
  <c r="N11" i="4"/>
  <c r="N15" i="4"/>
  <c r="N13" i="4"/>
  <c r="N16" i="4"/>
  <c r="F7" i="4"/>
  <c r="N10" i="4"/>
  <c r="N14" i="4"/>
  <c r="N8" i="4"/>
  <c r="N12" i="4"/>
  <c r="F9" i="4"/>
  <c r="F12" i="4"/>
  <c r="F13" i="4"/>
  <c r="D17" i="4"/>
  <c r="H17" i="4"/>
  <c r="D19" i="5"/>
  <c r="K16" i="4" l="1"/>
  <c r="P8" i="4"/>
  <c r="Q15" i="4"/>
  <c r="S11" i="4"/>
  <c r="Q16" i="4"/>
  <c r="F17" i="4"/>
  <c r="Q13" i="4"/>
  <c r="P7" i="4"/>
  <c r="P9" i="4"/>
  <c r="K15" i="4"/>
  <c r="P12" i="4"/>
  <c r="P17" i="4"/>
  <c r="K7" i="4"/>
  <c r="G7" i="4"/>
  <c r="Q10" i="4"/>
  <c r="S17" i="4"/>
  <c r="S10" i="4"/>
  <c r="S7" i="4"/>
  <c r="Q7" i="4"/>
  <c r="J17" i="4"/>
  <c r="S12" i="4"/>
  <c r="I17" i="4"/>
  <c r="S13" i="4"/>
  <c r="K11" i="4"/>
  <c r="Q11" i="4"/>
  <c r="Q8" i="4"/>
  <c r="K8" i="4"/>
  <c r="K9" i="4"/>
  <c r="K10" i="4"/>
  <c r="K13" i="4"/>
  <c r="G16" i="4"/>
  <c r="Q9" i="4"/>
  <c r="P15" i="4"/>
  <c r="S15" i="4"/>
  <c r="S16" i="4"/>
  <c r="Q17" i="4"/>
  <c r="Q14" i="4"/>
  <c r="Q12" i="4"/>
  <c r="P16" i="4"/>
  <c r="S8" i="4"/>
  <c r="P13" i="4"/>
  <c r="P10" i="4"/>
  <c r="P11" i="4"/>
  <c r="K14" i="4"/>
  <c r="P14" i="4"/>
  <c r="K12" i="4"/>
  <c r="S14" i="4"/>
  <c r="C19" i="5"/>
  <c r="G11" i="4" l="1"/>
  <c r="G14" i="4"/>
  <c r="G13" i="4"/>
  <c r="G9" i="4"/>
  <c r="G17" i="4"/>
  <c r="K17" i="4"/>
  <c r="G8" i="4"/>
  <c r="G10" i="4"/>
  <c r="G15" i="4"/>
  <c r="G12" i="4"/>
  <c r="K19" i="3"/>
  <c r="J19" i="3"/>
  <c r="H19" i="3"/>
  <c r="G19" i="3"/>
  <c r="E19" i="3"/>
  <c r="D19" i="3"/>
  <c r="L9" i="3" l="1"/>
  <c r="F18" i="3"/>
  <c r="F9" i="3"/>
  <c r="I9" i="3"/>
  <c r="F13" i="3"/>
  <c r="F17" i="3"/>
  <c r="L17" i="3"/>
  <c r="F11" i="3"/>
  <c r="F15" i="3"/>
  <c r="L10" i="3"/>
  <c r="L12" i="3"/>
  <c r="L14" i="3"/>
  <c r="L16" i="3"/>
  <c r="L18" i="3"/>
  <c r="I17" i="3"/>
  <c r="I10" i="3"/>
  <c r="I12" i="3"/>
  <c r="I14" i="3"/>
  <c r="I16" i="3"/>
  <c r="I18" i="3"/>
  <c r="I11" i="3"/>
  <c r="I13" i="3"/>
  <c r="I15" i="3"/>
  <c r="F10" i="3"/>
  <c r="L11" i="3"/>
  <c r="F12" i="3"/>
  <c r="L13" i="3"/>
  <c r="F14" i="3"/>
  <c r="L15" i="3"/>
  <c r="F16" i="3"/>
  <c r="I19" i="3" l="1"/>
  <c r="M18" i="3"/>
  <c r="M17" i="3"/>
  <c r="M10" i="3"/>
  <c r="M14" i="3"/>
  <c r="M9" i="3"/>
  <c r="M12" i="3"/>
  <c r="M11" i="3"/>
  <c r="M13" i="3"/>
  <c r="M15" i="3"/>
  <c r="M16" i="3"/>
  <c r="F19" i="3"/>
  <c r="L19" i="3"/>
  <c r="M19" i="3" l="1"/>
  <c r="N9" i="3" s="1"/>
  <c r="N18" i="3" l="1"/>
  <c r="N19" i="3"/>
  <c r="N13" i="3"/>
  <c r="N17" i="3"/>
  <c r="N15" i="3"/>
  <c r="N12" i="3"/>
  <c r="N11" i="3"/>
  <c r="N10" i="3"/>
  <c r="N14" i="3"/>
  <c r="N16" i="3"/>
  <c r="V9" i="5" l="1"/>
  <c r="X9" i="5"/>
  <c r="Z9" i="5"/>
  <c r="AB9" i="5"/>
  <c r="AD9" i="5"/>
  <c r="AL10" i="5" l="1"/>
  <c r="AL11" i="5"/>
  <c r="AL12" i="5"/>
  <c r="AL13" i="5"/>
  <c r="AL14" i="5"/>
  <c r="AL15" i="5"/>
  <c r="AL16" i="5"/>
  <c r="AL17" i="5"/>
  <c r="AL18" i="5"/>
  <c r="AL9" i="5"/>
  <c r="AK19" i="5"/>
  <c r="AJ10" i="5" l="1"/>
  <c r="AJ11" i="5"/>
  <c r="AJ12" i="5"/>
  <c r="AJ13" i="5"/>
  <c r="AJ14" i="5"/>
  <c r="AJ15" i="5"/>
  <c r="AJ16" i="5"/>
  <c r="AJ17" i="5"/>
  <c r="AJ18" i="5"/>
  <c r="AJ9" i="5"/>
  <c r="AI19" i="5"/>
  <c r="AG19" i="5"/>
  <c r="AH10" i="5"/>
  <c r="AH11" i="5"/>
  <c r="AH12" i="5"/>
  <c r="AH13" i="5"/>
  <c r="AH14" i="5"/>
  <c r="AH15" i="5"/>
  <c r="AH16" i="5"/>
  <c r="AH17" i="5"/>
  <c r="AH18" i="5"/>
  <c r="AH9" i="5"/>
  <c r="AF10" i="5"/>
  <c r="AF11" i="5"/>
  <c r="AF12" i="5"/>
  <c r="AF13" i="5"/>
  <c r="AF14" i="5"/>
  <c r="AF15" i="5"/>
  <c r="AF16" i="5"/>
  <c r="AF17" i="5"/>
  <c r="AF18" i="5"/>
  <c r="AF9" i="5"/>
  <c r="Q19" i="5"/>
  <c r="O19" i="5"/>
  <c r="AD10" i="5"/>
  <c r="AD11" i="5"/>
  <c r="AD12" i="5"/>
  <c r="AD13" i="5"/>
  <c r="AD14" i="5"/>
  <c r="AD15" i="5"/>
  <c r="AD16" i="5"/>
  <c r="AD17" i="5"/>
  <c r="AD18" i="5"/>
  <c r="AE19" i="5"/>
  <c r="AC19" i="5"/>
  <c r="AB10" i="5"/>
  <c r="AB11" i="5"/>
  <c r="AB12" i="5"/>
  <c r="AB13" i="5"/>
  <c r="AB14" i="5"/>
  <c r="AB15" i="5"/>
  <c r="AB16" i="5"/>
  <c r="AB17" i="5"/>
  <c r="AB18" i="5"/>
  <c r="Z10" i="5"/>
  <c r="Z11" i="5"/>
  <c r="Z12" i="5"/>
  <c r="Z13" i="5"/>
  <c r="Z14" i="5"/>
  <c r="Z15" i="5"/>
  <c r="Z16" i="5"/>
  <c r="Z17" i="5"/>
  <c r="Z18" i="5"/>
  <c r="Z22" i="5" l="1"/>
  <c r="AD22" i="5"/>
  <c r="AB22" i="5"/>
  <c r="AJ19" i="5"/>
  <c r="AH19" i="5"/>
  <c r="AF19" i="5"/>
  <c r="AD19" i="5"/>
  <c r="AA19" i="5" l="1"/>
  <c r="AB19" i="5" l="1"/>
  <c r="B13" i="1" l="1"/>
  <c r="L17" i="4" s="1"/>
  <c r="L9" i="4" l="1"/>
  <c r="L10" i="4"/>
  <c r="L15" i="4"/>
  <c r="L13" i="4"/>
  <c r="L14" i="4"/>
  <c r="L8" i="4"/>
  <c r="L7" i="4"/>
  <c r="L12" i="4"/>
  <c r="L16" i="4"/>
  <c r="L11" i="4"/>
  <c r="Y19" i="5" l="1"/>
  <c r="X10" i="5"/>
  <c r="X11" i="5"/>
  <c r="X12" i="5"/>
  <c r="X13" i="5"/>
  <c r="X14" i="5"/>
  <c r="X15" i="5"/>
  <c r="X16" i="5"/>
  <c r="X17" i="5"/>
  <c r="X18" i="5"/>
  <c r="W19" i="5"/>
  <c r="X22" i="5" l="1"/>
  <c r="U19" i="5"/>
  <c r="V10" i="5"/>
  <c r="V11" i="5"/>
  <c r="V12" i="5"/>
  <c r="V13" i="5"/>
  <c r="V14" i="5"/>
  <c r="V15" i="5"/>
  <c r="V16" i="5"/>
  <c r="V17" i="5"/>
  <c r="V18" i="5"/>
  <c r="V22" i="5" l="1"/>
  <c r="T13" i="5"/>
  <c r="T14" i="5"/>
  <c r="T15" i="5"/>
  <c r="T16" i="5"/>
  <c r="T17" i="5"/>
  <c r="T18" i="5"/>
  <c r="T12" i="5"/>
  <c r="T11" i="5"/>
  <c r="T10" i="5"/>
  <c r="T22" i="5" l="1"/>
  <c r="L19" i="5"/>
  <c r="Z19" i="5" l="1"/>
  <c r="X19" i="5"/>
  <c r="V19" i="5"/>
  <c r="C17" i="2" l="1"/>
  <c r="D7" i="2" s="1"/>
  <c r="D10" i="2" l="1"/>
  <c r="D14" i="2"/>
  <c r="D11" i="2"/>
  <c r="D15" i="2"/>
  <c r="D8" i="2"/>
  <c r="D12" i="2"/>
  <c r="D16" i="2"/>
  <c r="D9" i="2"/>
  <c r="D13" i="2"/>
  <c r="G22" i="1"/>
  <c r="B19" i="1"/>
  <c r="B20" i="1"/>
  <c r="B21" i="1" l="1"/>
  <c r="T7" i="4" s="1"/>
  <c r="G21" i="1"/>
  <c r="T12" i="4"/>
  <c r="T16" i="4"/>
  <c r="T8" i="4"/>
  <c r="T13" i="4"/>
  <c r="T15" i="4"/>
  <c r="T9" i="4"/>
  <c r="T11" i="4"/>
  <c r="T14" i="4"/>
  <c r="T10" i="4"/>
  <c r="B22" i="1"/>
  <c r="D17" i="2"/>
  <c r="U7" i="4" l="1"/>
  <c r="U10" i="4"/>
  <c r="U14" i="4"/>
  <c r="U8" i="4"/>
  <c r="U11" i="4"/>
  <c r="U9" i="4"/>
  <c r="U16" i="4"/>
  <c r="U15" i="4"/>
  <c r="U13" i="4"/>
  <c r="U12" i="4"/>
  <c r="F11" i="5" l="1"/>
  <c r="F11" i="9"/>
  <c r="F16" i="5"/>
  <c r="F16" i="9"/>
  <c r="F15" i="5"/>
  <c r="F15" i="9"/>
  <c r="F13" i="5"/>
  <c r="F13" i="9"/>
  <c r="F12" i="5"/>
  <c r="F12" i="9"/>
  <c r="F17" i="5"/>
  <c r="F17" i="9"/>
  <c r="F10" i="5"/>
  <c r="F10" i="9"/>
  <c r="F14" i="5"/>
  <c r="F14" i="9"/>
  <c r="F18" i="5"/>
  <c r="F18" i="9"/>
  <c r="F9" i="5"/>
  <c r="F9" i="9"/>
  <c r="P19" i="5" l="1"/>
  <c r="S19" i="5"/>
  <c r="T19" i="5" s="1"/>
  <c r="G4" i="1" l="1"/>
  <c r="E9" i="5"/>
  <c r="H9" i="5" s="1"/>
  <c r="D9" i="1" l="1"/>
  <c r="E11" i="9"/>
  <c r="G11" i="9" s="1"/>
  <c r="E19" i="5"/>
  <c r="E15" i="5"/>
  <c r="H15" i="5" s="1"/>
  <c r="E15" i="9"/>
  <c r="G15" i="9" s="1"/>
  <c r="E11" i="5"/>
  <c r="H11" i="5" s="1"/>
  <c r="G9" i="1"/>
  <c r="E16" i="9"/>
  <c r="G16" i="9" s="1"/>
  <c r="E12" i="9"/>
  <c r="G12" i="9" s="1"/>
  <c r="E16" i="5"/>
  <c r="H16" i="5" s="1"/>
  <c r="E12" i="5"/>
  <c r="H12" i="5" s="1"/>
  <c r="E18" i="9"/>
  <c r="G18" i="9" s="1"/>
  <c r="E14" i="9"/>
  <c r="G14" i="9" s="1"/>
  <c r="E10" i="9"/>
  <c r="G10" i="9" s="1"/>
  <c r="E18" i="5"/>
  <c r="H18" i="5" s="1"/>
  <c r="E14" i="5"/>
  <c r="H14" i="5" s="1"/>
  <c r="E10" i="5"/>
  <c r="H10" i="5" s="1"/>
  <c r="E17" i="9"/>
  <c r="G17" i="9" s="1"/>
  <c r="E13" i="9"/>
  <c r="G13" i="9" s="1"/>
  <c r="E9" i="9"/>
  <c r="G9" i="9" s="1"/>
  <c r="E17" i="5"/>
  <c r="H17" i="5" s="1"/>
  <c r="E13" i="5"/>
  <c r="H13" i="5" s="1"/>
  <c r="I9" i="5" l="1"/>
  <c r="H18" i="9"/>
  <c r="I18" i="9" s="1"/>
  <c r="L18" i="9" s="1"/>
  <c r="I13" i="5"/>
  <c r="J13" i="5" s="1"/>
  <c r="H13" i="9"/>
  <c r="I13" i="9" s="1"/>
  <c r="L13" i="9" s="1"/>
  <c r="I18" i="5"/>
  <c r="J18" i="5" s="1"/>
  <c r="I15" i="5"/>
  <c r="J15" i="5" s="1"/>
  <c r="H10" i="9"/>
  <c r="I10" i="9" s="1"/>
  <c r="L10" i="9" s="1"/>
  <c r="H19" i="5"/>
  <c r="H14" i="9"/>
  <c r="I14" i="9" s="1"/>
  <c r="L14" i="9" s="1"/>
  <c r="H12" i="9"/>
  <c r="I12" i="9" s="1"/>
  <c r="L12" i="9" s="1"/>
  <c r="I11" i="5"/>
  <c r="J11" i="5" s="1"/>
  <c r="G19" i="9"/>
  <c r="H9" i="9"/>
  <c r="H17" i="9"/>
  <c r="I17" i="9" s="1"/>
  <c r="L17" i="9" s="1"/>
  <c r="I16" i="5"/>
  <c r="J16" i="5" s="1"/>
  <c r="I10" i="5"/>
  <c r="J10" i="5" s="1"/>
  <c r="H11" i="9"/>
  <c r="I11" i="9" s="1"/>
  <c r="L11" i="9" s="1"/>
  <c r="H16" i="9"/>
  <c r="I16" i="9" s="1"/>
  <c r="L16" i="9" s="1"/>
  <c r="I12" i="5"/>
  <c r="J12" i="5" s="1"/>
  <c r="I14" i="5"/>
  <c r="J14" i="5" s="1"/>
  <c r="I17" i="5"/>
  <c r="J17" i="5" s="1"/>
  <c r="H15" i="9"/>
  <c r="I15" i="9" s="1"/>
  <c r="L15" i="9" s="1"/>
  <c r="N14" i="5" l="1"/>
  <c r="G14" i="5"/>
  <c r="N10" i="5"/>
  <c r="G10" i="5"/>
  <c r="N12" i="5"/>
  <c r="G12" i="5"/>
  <c r="N16" i="5"/>
  <c r="G16" i="5"/>
  <c r="N11" i="5"/>
  <c r="G11" i="5"/>
  <c r="N13" i="5"/>
  <c r="G13" i="5"/>
  <c r="N15" i="5"/>
  <c r="G15" i="5"/>
  <c r="N17" i="5"/>
  <c r="G17" i="5"/>
  <c r="N18" i="5"/>
  <c r="G18" i="5"/>
  <c r="L23" i="9"/>
  <c r="I9" i="9"/>
  <c r="H19" i="9"/>
  <c r="I19" i="5"/>
  <c r="J9" i="5"/>
  <c r="N22" i="5" l="1"/>
  <c r="N9" i="5"/>
  <c r="G9" i="5"/>
  <c r="J19" i="5"/>
  <c r="N19" i="5" s="1"/>
  <c r="L9" i="9"/>
  <c r="L19" i="9" s="1"/>
  <c r="I19" i="9"/>
</calcChain>
</file>

<file path=xl/sharedStrings.xml><?xml version="1.0" encoding="utf-8"?>
<sst xmlns="http://schemas.openxmlformats.org/spreadsheetml/2006/main" count="177" uniqueCount="98">
  <si>
    <t>№ п/п</t>
  </si>
  <si>
    <t>г.п. Междуреченский</t>
  </si>
  <si>
    <t>г.п. Кондинское</t>
  </si>
  <si>
    <t>г.п. Луговой</t>
  </si>
  <si>
    <t>г.п. Куминский</t>
  </si>
  <si>
    <t>г.п. Мортка</t>
  </si>
  <si>
    <t>с.п. Леуши</t>
  </si>
  <si>
    <t>с.п. Мулымья</t>
  </si>
  <si>
    <t>с.п. Половинка</t>
  </si>
  <si>
    <t>с.п. Шугур</t>
  </si>
  <si>
    <t>с.п. Болчары</t>
  </si>
  <si>
    <t>Итого по поселениям</t>
  </si>
  <si>
    <t>Индекс налогового потенциала показывает, во сколько раз налоговый потенциал в расчете на одного жителя определенного поселения</t>
  </si>
  <si>
    <t xml:space="preserve">Индекс налогового потенциала </t>
  </si>
  <si>
    <t>Муниципальные образования</t>
  </si>
  <si>
    <t>Итого расходы</t>
  </si>
  <si>
    <t>Численность постоянного населения, чел.</t>
  </si>
  <si>
    <t>Коэффициент заработной платы</t>
  </si>
  <si>
    <t>Коэффициент стоимости предоставления коммунальных услуг</t>
  </si>
  <si>
    <t>Доля расходов по всем поселениям</t>
  </si>
  <si>
    <t>Расчетный удельный вес расходов в среднем по бюджетам всех поселений</t>
  </si>
  <si>
    <t xml:space="preserve">Весовой коэффициент </t>
  </si>
  <si>
    <t>Коэффициент масштаба</t>
  </si>
  <si>
    <t xml:space="preserve">Коэффициент дифференциации расходов на содержание жилого фонда </t>
  </si>
  <si>
    <t>Коэффициент дисперсности расселения</t>
  </si>
  <si>
    <t>Коэффициент стоимости предоставления муниципальных услуг</t>
  </si>
  <si>
    <t>Индекс бюджетных расходов</t>
  </si>
  <si>
    <t>Коэффициент структуры потребителей муниципальных услуг</t>
  </si>
  <si>
    <t xml:space="preserve">Уровень расчетной бюджетной обеспеченности, установленный в качестве критерия выравнивания расчетной бюджетной обеспеченности </t>
  </si>
  <si>
    <t>Уровень расчетной бюджетной обеспеченности</t>
  </si>
  <si>
    <t>Доля расходов на благоустройство</t>
  </si>
  <si>
    <t>Уровень расчетной бюджетной обеспеченности поселения - соотношение налоговых доходов на одного жителя, которые могут быть получены бюджетом поселения исходя из налоговой базы (налогового потенциала), и аналогичного показателя в среднем по поселениям данного муниципального района с учетом различий в структуре населения, социально-экономических, климатических, географических и иных объективных факторов и условий, влияющих на стоимость предоставления муниципальных услуг в расчете на одного жителя.</t>
  </si>
  <si>
    <t>Налоговый потенциал поселения - оценка налоговых доходов, которые могут быть получены бюджетом поселения исходя из уровня развития и структуры экономики и (или) налоговой базы из основных налоговых источников, закрепленных за этим поселением.</t>
  </si>
  <si>
    <t>Индекс налогового потенциала поселения - отношение налогового потенциала поселения в расчете на одного жителя к аналогичному показателю в среднем по всем поселениям.</t>
  </si>
  <si>
    <t>(норматив 10%)</t>
  </si>
  <si>
    <t>(норматив 100%)</t>
  </si>
  <si>
    <t xml:space="preserve">Налоговый потенциал по налогу на доходы физических лиц, тыс.руб. </t>
  </si>
  <si>
    <t>Налоговый потенциал по налогу на имущество физических лиц, тыс.руб.</t>
  </si>
  <si>
    <t>Налоговый потенциал по земельному налогу, тыс.руб.</t>
  </si>
  <si>
    <t>Налоговый потенциал, тыс.руб.</t>
  </si>
  <si>
    <t>Коэффициент дифференциации расходов на благоустройство</t>
  </si>
  <si>
    <t>Объем средств, необходимых для доведения уровня расчетной бюджетной обеспеченности до уровня, установленного в качестве критерия выравнивания расчетной бюджетной обеспеченности, тыс.руб.</t>
  </si>
  <si>
    <t xml:space="preserve">Итого расходы </t>
  </si>
  <si>
    <t>Общий объем дотации на выравнивание бюджетной обеспеченности поселений тыс.руб.</t>
  </si>
  <si>
    <t>Размер первой части дотации на выравнивание бюджетной обеспеченности поселений, тыс.руб.</t>
  </si>
  <si>
    <t>Размер второй части дотации на выравнивание бюджетной обеспеченности поселений, тыс.руб.</t>
  </si>
  <si>
    <t>Расчетный удельный вес расходов на заработную плату и начисления на выплаты по оплате труда (включая расходы на заработную плату и начисления на выплаты по оплате труда, осуществляемые за счет субсидий, предоставляемых муниципальным бюджетным и автономным учреждениям (211, 213)</t>
  </si>
  <si>
    <t>Доля расходов на муниципальное управление и организацию оказания услуг в области культуры по всем поселениям</t>
  </si>
  <si>
    <t>Доля расходов на содержание муниципального жилого фонда по всем поселениям</t>
  </si>
  <si>
    <t>Доля других видов расходов по всем поселениям</t>
  </si>
  <si>
    <t>Расчетный удельный вес расходов на приобретение коммунальных услуг (включая расходы на приобретение коммунальных услуг муниципальными бюджетными и автономными учреждениями) (223)</t>
  </si>
  <si>
    <t>Удельный вес сельского населения</t>
  </si>
  <si>
    <t>ВК 0,6</t>
  </si>
  <si>
    <t xml:space="preserve"> 0,7</t>
  </si>
  <si>
    <t>откл</t>
  </si>
  <si>
    <t>0 при росте фонда</t>
  </si>
  <si>
    <t>отклонение</t>
  </si>
  <si>
    <t>Размер второй части дотации на выравнивание бюджетной обеспеченности на 2022 год, тыс.руб.</t>
  </si>
  <si>
    <t>Размер дотации на выравнивание бюджетной обеспеченности на 2022 год, тыс.руб.</t>
  </si>
  <si>
    <t>0 откл</t>
  </si>
  <si>
    <t>Прогноз налоговых доходов на 2023 год, тыс.руб.</t>
  </si>
  <si>
    <t>Численность постоянного населения на 01.01.2022 года, чел.</t>
  </si>
  <si>
    <t>Расчет размера второй части дотации на 2023 год (при реальных доходах)</t>
  </si>
  <si>
    <t>2022</t>
  </si>
  <si>
    <t>Субвенции муниципальным районам на исполнение полномочий по расчету и предоставлению дотаций на выравнивание бюджетной обеспеченности поселений, входящих в состав муниципальных районов</t>
  </si>
  <si>
    <t>Субсидии муниципальным районам на выравнивание бюджетной обеспеченности поселений, входящих в состав муниципальных районов</t>
  </si>
  <si>
    <t>РФФПП</t>
  </si>
  <si>
    <t>0,6</t>
  </si>
  <si>
    <t>Фактическое исполнение за 2023 год (без учета целевых средств)</t>
  </si>
  <si>
    <t>Численность постоянного населения на 01.01.2024 года, чел.</t>
  </si>
  <si>
    <t>Параметры распределения районного фонда финансовой поддержки поселений на 2027 год</t>
  </si>
  <si>
    <t>Размер дотации на выравнивание бюджетной обеспеченности на 2027 год, тыс.руб. (1 часть + 2 часть дотации)</t>
  </si>
  <si>
    <t>2026</t>
  </si>
  <si>
    <t>Уровень расчетной бюджетной обеспеченности,после предоставления дотации на выравнивание бюджетной обеспеченности</t>
  </si>
  <si>
    <t>Расчет размера первой части дотации на 2028 год</t>
  </si>
  <si>
    <t>Численность постоянного населения, чел. На 01.01.2025</t>
  </si>
  <si>
    <t>Размер первой части дотации на 2028 год, тыс.руб.</t>
  </si>
  <si>
    <t>Налог на доходы физических лиц (форма 5-НДФЛ за 2024 год), руб.</t>
  </si>
  <si>
    <t>Налог на доходы физических лиц (прогноз поступлений на 2028 год), тыс.руб.</t>
  </si>
  <si>
    <t>Налог на имущество физических лиц (форма 5-МН за 2024 год), тыс.руб.</t>
  </si>
  <si>
    <t>Налог на имущество физических лиц (прогноз поступлений на 2028 год), тыс.руб.</t>
  </si>
  <si>
    <t>Земельный налог (прогноз поступлений на 2028 год), тыс.руб.</t>
  </si>
  <si>
    <t>Численность постоянного населения, на 01.01.2025 года/ чел.</t>
  </si>
  <si>
    <t>Численность постоянного сельского населения, на 01.01.2025 года /чел.</t>
  </si>
  <si>
    <t>Численность постоянного населения, проживающего в населенных пунктах с численностью населения не более 500 чел., на 01.01.2025 года /  чел.</t>
  </si>
  <si>
    <t>Экономически обоснованный тариф на водоснабжение и водоотведение, руб. за куб.м на 2028 год</t>
  </si>
  <si>
    <t>Экономически обоснованный тариф на теплоснабжение, руб. за Гкал. на 2028 год</t>
  </si>
  <si>
    <t>Экономически обоснованный тариф на электроснабжение, за кВТ.час на 2028 год</t>
  </si>
  <si>
    <t>Площадь жилого фонда по состоянию на 01.01.2025 года, тыс.кв.м</t>
  </si>
  <si>
    <t>Расчет размера второй части дотации на 2028 год</t>
  </si>
  <si>
    <t>Прогноз налоговых доходов на 2028 год, тыс.руб.</t>
  </si>
  <si>
    <t>Параметры распределения районного фонда финансовой поддержки поселений на 2028 год</t>
  </si>
  <si>
    <t>Земельный налог (форма 5-МН за 2024 год), тыс.руб.</t>
  </si>
  <si>
    <t>Размер второй части дотации на выравнивание бюджетной обеспеченности на 2028 год, тыс.руб.</t>
  </si>
  <si>
    <t>Протяженность дорог, км на 01.01.2025 года</t>
  </si>
  <si>
    <t>Расчет индекса бюджетных расходов на 2028 год</t>
  </si>
  <si>
    <t>Фактическое исполнение за 2024 год (без учета целевых средств)</t>
  </si>
  <si>
    <t>Расчет индекса налогового потенциала поселений на 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</si>
</sst>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0.0%"/>
    <numFmt numFmtId="166" formatCode="#,##0.0"/>
    <numFmt numFmtId="167" formatCode="#,##0.0000"/>
    <numFmt numFmtId="168" formatCode="0.000%"/>
  </numFmts>
  <fonts count="2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5"/>
      <name val="Arial"/>
      <family val="2"/>
      <charset val="204"/>
    </font>
    <font>
      <b/>
      <sz val="18"/>
      <name val="Arial"/>
      <family val="2"/>
      <charset val="204"/>
    </font>
    <font>
      <sz val="18"/>
      <name val="Arial"/>
      <family val="2"/>
      <charset val="204"/>
    </font>
    <font>
      <b/>
      <sz val="20"/>
      <name val="Arial"/>
      <family val="2"/>
      <charset val="204"/>
    </font>
    <font>
      <sz val="20"/>
      <name val="Arial"/>
      <family val="2"/>
      <charset val="204"/>
    </font>
    <font>
      <sz val="15"/>
      <name val="Arial"/>
      <family val="2"/>
      <charset val="204"/>
    </font>
    <font>
      <b/>
      <sz val="26"/>
      <name val="Arial"/>
      <family val="2"/>
      <charset val="204"/>
    </font>
    <font>
      <sz val="26"/>
      <name val="Arial"/>
      <family val="2"/>
      <charset val="204"/>
    </font>
    <font>
      <sz val="17"/>
      <name val="Arial"/>
      <family val="2"/>
      <charset val="204"/>
    </font>
    <font>
      <b/>
      <sz val="12"/>
      <name val="Arial"/>
      <family val="2"/>
      <charset val="204"/>
    </font>
    <font>
      <sz val="15"/>
      <color theme="1"/>
      <name val="Arial"/>
      <family val="2"/>
      <charset val="204"/>
    </font>
    <font>
      <b/>
      <sz val="15"/>
      <color theme="1"/>
      <name val="Arial"/>
      <family val="2"/>
      <charset val="204"/>
    </font>
    <font>
      <b/>
      <sz val="16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5">
    <xf numFmtId="0" fontId="0" fillId="0" borderId="0" xfId="0"/>
    <xf numFmtId="0" fontId="0" fillId="2" borderId="0" xfId="0" applyFill="1"/>
    <xf numFmtId="0" fontId="5" fillId="2" borderId="0" xfId="0" applyFont="1" applyFill="1"/>
    <xf numFmtId="0" fontId="16" fillId="2" borderId="0" xfId="0" applyFont="1" applyFill="1"/>
    <xf numFmtId="3" fontId="4" fillId="0" borderId="0" xfId="0" applyNumberFormat="1" applyFont="1" applyFill="1" applyBorder="1"/>
    <xf numFmtId="166" fontId="4" fillId="0" borderId="0" xfId="0" applyNumberFormat="1" applyFont="1" applyFill="1" applyBorder="1"/>
    <xf numFmtId="0" fontId="5" fillId="0" borderId="0" xfId="0" applyFont="1" applyFill="1"/>
    <xf numFmtId="0" fontId="1" fillId="2" borderId="0" xfId="0" applyFont="1" applyFill="1"/>
    <xf numFmtId="2" fontId="16" fillId="2" borderId="0" xfId="0" applyNumberFormat="1" applyFont="1" applyFill="1" applyAlignment="1">
      <alignment wrapText="1"/>
    </xf>
    <xf numFmtId="0" fontId="5" fillId="0" borderId="1" xfId="0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0" fillId="0" borderId="0" xfId="0" applyFill="1"/>
    <xf numFmtId="0" fontId="8" fillId="0" borderId="1" xfId="0" applyFont="1" applyFill="1" applyBorder="1"/>
    <xf numFmtId="0" fontId="0" fillId="0" borderId="1" xfId="0" applyFill="1" applyBorder="1"/>
    <xf numFmtId="0" fontId="13" fillId="0" borderId="1" xfId="0" applyFont="1" applyFill="1" applyBorder="1"/>
    <xf numFmtId="0" fontId="12" fillId="0" borderId="1" xfId="0" applyFont="1" applyFill="1" applyBorder="1"/>
    <xf numFmtId="0" fontId="3" fillId="0" borderId="0" xfId="0" applyFont="1" applyFill="1"/>
    <xf numFmtId="49" fontId="16" fillId="3" borderId="0" xfId="0" applyNumberFormat="1" applyFont="1" applyFill="1" applyAlignment="1">
      <alignment horizontal="right" wrapText="1"/>
    </xf>
    <xf numFmtId="49" fontId="16" fillId="3" borderId="0" xfId="0" applyNumberFormat="1" applyFont="1" applyFill="1" applyAlignment="1">
      <alignment wrapText="1"/>
    </xf>
    <xf numFmtId="2" fontId="16" fillId="3" borderId="0" xfId="0" applyNumberFormat="1" applyFont="1" applyFill="1" applyAlignment="1">
      <alignment wrapText="1"/>
    </xf>
    <xf numFmtId="2" fontId="16" fillId="3" borderId="0" xfId="0" applyNumberFormat="1" applyFont="1" applyFill="1" applyAlignment="1">
      <alignment horizontal="right" wrapText="1"/>
    </xf>
    <xf numFmtId="166" fontId="0" fillId="2" borderId="0" xfId="0" applyNumberFormat="1" applyFill="1"/>
    <xf numFmtId="2" fontId="16" fillId="4" borderId="0" xfId="0" applyNumberFormat="1" applyFont="1" applyFill="1" applyAlignment="1">
      <alignment horizontal="right" wrapText="1"/>
    </xf>
    <xf numFmtId="166" fontId="16" fillId="2" borderId="0" xfId="0" applyNumberFormat="1" applyFont="1" applyFill="1"/>
    <xf numFmtId="166" fontId="1" fillId="2" borderId="0" xfId="0" applyNumberFormat="1" applyFont="1" applyFill="1"/>
    <xf numFmtId="166" fontId="16" fillId="3" borderId="0" xfId="0" applyNumberFormat="1" applyFont="1" applyFill="1"/>
    <xf numFmtId="166" fontId="16" fillId="4" borderId="0" xfId="0" applyNumberFormat="1" applyFont="1" applyFill="1"/>
    <xf numFmtId="0" fontId="16" fillId="3" borderId="0" xfId="0" applyFont="1" applyFill="1"/>
    <xf numFmtId="4" fontId="16" fillId="4" borderId="0" xfId="0" applyNumberFormat="1" applyFont="1" applyFill="1"/>
    <xf numFmtId="4" fontId="16" fillId="3" borderId="0" xfId="0" applyNumberFormat="1" applyFont="1" applyFill="1"/>
    <xf numFmtId="166" fontId="11" fillId="3" borderId="0" xfId="0" applyNumberFormat="1" applyFont="1" applyFill="1"/>
    <xf numFmtId="4" fontId="11" fillId="4" borderId="0" xfId="0" applyNumberFormat="1" applyFont="1" applyFill="1"/>
    <xf numFmtId="4" fontId="11" fillId="3" borderId="0" xfId="0" applyNumberFormat="1" applyFont="1" applyFill="1"/>
    <xf numFmtId="166" fontId="11" fillId="4" borderId="0" xfId="0" applyNumberFormat="1" applyFont="1" applyFill="1"/>
    <xf numFmtId="166" fontId="11" fillId="2" borderId="0" xfId="0" applyNumberFormat="1" applyFont="1" applyFill="1"/>
    <xf numFmtId="49" fontId="16" fillId="5" borderId="0" xfId="0" applyNumberFormat="1" applyFont="1" applyFill="1" applyAlignment="1">
      <alignment horizontal="right" wrapText="1"/>
    </xf>
    <xf numFmtId="166" fontId="16" fillId="5" borderId="0" xfId="0" applyNumberFormat="1" applyFont="1" applyFill="1"/>
    <xf numFmtId="166" fontId="11" fillId="5" borderId="0" xfId="0" applyNumberFormat="1" applyFont="1" applyFill="1"/>
    <xf numFmtId="167" fontId="16" fillId="4" borderId="0" xfId="0" applyNumberFormat="1" applyFont="1" applyFill="1"/>
    <xf numFmtId="0" fontId="4" fillId="0" borderId="1" xfId="0" applyFont="1" applyFill="1" applyBorder="1"/>
    <xf numFmtId="4" fontId="4" fillId="0" borderId="1" xfId="0" applyNumberFormat="1" applyFont="1" applyFill="1" applyBorder="1"/>
    <xf numFmtId="164" fontId="14" fillId="2" borderId="1" xfId="0" applyNumberFormat="1" applyFont="1" applyFill="1" applyBorder="1"/>
    <xf numFmtId="164" fontId="15" fillId="2" borderId="1" xfId="0" applyNumberFormat="1" applyFont="1" applyFill="1" applyBorder="1"/>
    <xf numFmtId="166" fontId="16" fillId="6" borderId="0" xfId="0" applyNumberFormat="1" applyFont="1" applyFill="1" applyBorder="1"/>
    <xf numFmtId="4" fontId="11" fillId="6" borderId="0" xfId="0" applyNumberFormat="1" applyFont="1" applyFill="1"/>
    <xf numFmtId="166" fontId="16" fillId="4" borderId="0" xfId="0" applyNumberFormat="1" applyFont="1" applyFill="1" applyAlignment="1">
      <alignment wrapText="1"/>
    </xf>
    <xf numFmtId="166" fontId="11" fillId="4" borderId="0" xfId="0" applyNumberFormat="1" applyFont="1" applyFill="1" applyAlignment="1">
      <alignment wrapText="1"/>
    </xf>
    <xf numFmtId="2" fontId="16" fillId="6" borderId="0" xfId="0" applyNumberFormat="1" applyFont="1" applyFill="1" applyAlignment="1">
      <alignment horizontal="center" wrapText="1"/>
    </xf>
    <xf numFmtId="49" fontId="16" fillId="4" borderId="0" xfId="0" applyNumberFormat="1" applyFont="1" applyFill="1" applyAlignment="1">
      <alignment horizontal="center" wrapText="1"/>
    </xf>
    <xf numFmtId="166" fontId="16" fillId="4" borderId="0" xfId="0" applyNumberFormat="1" applyFont="1" applyFill="1" applyAlignment="1">
      <alignment horizontal="center" wrapText="1"/>
    </xf>
    <xf numFmtId="166" fontId="21" fillId="4" borderId="0" xfId="0" applyNumberFormat="1" applyFont="1" applyFill="1" applyAlignment="1">
      <alignment horizontal="center" wrapText="1"/>
    </xf>
    <xf numFmtId="166" fontId="21" fillId="4" borderId="0" xfId="0" applyNumberFormat="1" applyFont="1" applyFill="1"/>
    <xf numFmtId="166" fontId="22" fillId="4" borderId="0" xfId="0" applyNumberFormat="1" applyFont="1" applyFill="1"/>
    <xf numFmtId="2" fontId="16" fillId="4" borderId="0" xfId="0" applyNumberFormat="1" applyFont="1" applyFill="1" applyAlignment="1">
      <alignment horizontal="center" wrapText="1"/>
    </xf>
    <xf numFmtId="3" fontId="15" fillId="2" borderId="1" xfId="0" applyNumberFormat="1" applyFont="1" applyFill="1" applyBorder="1"/>
    <xf numFmtId="3" fontId="14" fillId="2" borderId="1" xfId="0" applyNumberFormat="1" applyFont="1" applyFill="1" applyBorder="1"/>
    <xf numFmtId="166" fontId="15" fillId="2" borderId="1" xfId="0" applyNumberFormat="1" applyFont="1" applyFill="1" applyBorder="1"/>
    <xf numFmtId="166" fontId="14" fillId="2" borderId="1" xfId="0" applyNumberFormat="1" applyFont="1" applyFill="1" applyBorder="1"/>
    <xf numFmtId="166" fontId="15" fillId="3" borderId="1" xfId="0" applyNumberFormat="1" applyFont="1" applyFill="1" applyBorder="1"/>
    <xf numFmtId="166" fontId="14" fillId="3" borderId="1" xfId="0" applyNumberFormat="1" applyFont="1" applyFill="1" applyBorder="1"/>
    <xf numFmtId="164" fontId="15" fillId="0" borderId="1" xfId="0" applyNumberFormat="1" applyFont="1" applyFill="1" applyBorder="1"/>
    <xf numFmtId="3" fontId="5" fillId="0" borderId="1" xfId="0" applyNumberFormat="1" applyFont="1" applyFill="1" applyBorder="1"/>
    <xf numFmtId="3" fontId="4" fillId="0" borderId="1" xfId="0" applyNumberFormat="1" applyFont="1" applyFill="1" applyBorder="1"/>
    <xf numFmtId="166" fontId="4" fillId="0" borderId="1" xfId="0" applyNumberFormat="1" applyFont="1" applyFill="1" applyBorder="1"/>
    <xf numFmtId="4" fontId="9" fillId="0" borderId="1" xfId="0" applyNumberFormat="1" applyFont="1" applyFill="1" applyBorder="1"/>
    <xf numFmtId="164" fontId="9" fillId="0" borderId="1" xfId="0" applyNumberFormat="1" applyFont="1" applyFill="1" applyBorder="1"/>
    <xf numFmtId="164" fontId="10" fillId="0" borderId="1" xfId="0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8" fillId="2" borderId="0" xfId="0" applyFont="1" applyFill="1" applyAlignment="1"/>
    <xf numFmtId="0" fontId="3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0" fontId="17" fillId="2" borderId="0" xfId="0" applyFont="1" applyFill="1" applyAlignment="1">
      <alignment horizont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/>
    <xf numFmtId="0" fontId="12" fillId="0" borderId="7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wrapText="1"/>
    </xf>
    <xf numFmtId="0" fontId="12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/>
    <xf numFmtId="0" fontId="9" fillId="0" borderId="10" xfId="0" applyFont="1" applyFill="1" applyBorder="1"/>
    <xf numFmtId="0" fontId="9" fillId="0" borderId="0" xfId="0" applyFont="1" applyFill="1" applyBorder="1"/>
    <xf numFmtId="0" fontId="12" fillId="0" borderId="4" xfId="0" applyFont="1" applyFill="1" applyBorder="1" applyAlignment="1">
      <alignment horizontal="center" wrapText="1"/>
    </xf>
    <xf numFmtId="9" fontId="5" fillId="0" borderId="0" xfId="0" applyNumberFormat="1" applyFont="1" applyFill="1"/>
    <xf numFmtId="0" fontId="10" fillId="0" borderId="11" xfId="0" applyFont="1" applyFill="1" applyBorder="1" applyAlignment="1">
      <alignment wrapText="1"/>
    </xf>
    <xf numFmtId="166" fontId="10" fillId="0" borderId="12" xfId="0" applyNumberFormat="1" applyFont="1" applyFill="1" applyBorder="1"/>
    <xf numFmtId="168" fontId="10" fillId="0" borderId="1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wrapText="1"/>
    </xf>
    <xf numFmtId="166" fontId="9" fillId="0" borderId="12" xfId="0" applyNumberFormat="1" applyFont="1" applyFill="1" applyBorder="1"/>
    <xf numFmtId="10" fontId="5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10" fontId="4" fillId="0" borderId="1" xfId="0" applyNumberFormat="1" applyFont="1" applyFill="1" applyBorder="1" applyAlignment="1">
      <alignment horizontal="center" wrapText="1"/>
    </xf>
    <xf numFmtId="0" fontId="20" fillId="0" borderId="9" xfId="0" applyFont="1" applyFill="1" applyBorder="1" applyAlignment="1">
      <alignment wrapText="1"/>
    </xf>
    <xf numFmtId="4" fontId="10" fillId="0" borderId="10" xfId="0" applyNumberFormat="1" applyFont="1" applyFill="1" applyBorder="1"/>
    <xf numFmtId="0" fontId="10" fillId="0" borderId="0" xfId="0" applyFont="1" applyFill="1" applyBorder="1"/>
    <xf numFmtId="10" fontId="12" fillId="0" borderId="0" xfId="0" applyNumberFormat="1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wrapText="1"/>
    </xf>
    <xf numFmtId="165" fontId="9" fillId="0" borderId="12" xfId="0" applyNumberFormat="1" applyFont="1" applyFill="1" applyBorder="1"/>
    <xf numFmtId="10" fontId="9" fillId="0" borderId="12" xfId="0" applyNumberFormat="1" applyFont="1" applyFill="1" applyBorder="1"/>
    <xf numFmtId="164" fontId="23" fillId="0" borderId="1" xfId="0" applyNumberFormat="1" applyFont="1" applyFill="1" applyBorder="1" applyAlignment="1"/>
    <xf numFmtId="4" fontId="5" fillId="0" borderId="0" xfId="0" applyNumberFormat="1" applyFont="1" applyFill="1" applyBorder="1"/>
    <xf numFmtId="0" fontId="9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wrapText="1"/>
    </xf>
    <xf numFmtId="165" fontId="9" fillId="0" borderId="15" xfId="0" applyNumberFormat="1" applyFont="1" applyFill="1" applyBorder="1"/>
    <xf numFmtId="4" fontId="5" fillId="0" borderId="1" xfId="0" applyNumberFormat="1" applyFont="1" applyFill="1" applyBorder="1"/>
    <xf numFmtId="0" fontId="12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3" fontId="9" fillId="0" borderId="1" xfId="0" applyNumberFormat="1" applyFont="1" applyFill="1" applyBorder="1"/>
    <xf numFmtId="166" fontId="9" fillId="0" borderId="1" xfId="0" applyNumberFormat="1" applyFont="1" applyFill="1" applyBorder="1"/>
    <xf numFmtId="0" fontId="1" fillId="0" borderId="1" xfId="0" applyFont="1" applyFill="1" applyBorder="1"/>
    <xf numFmtId="164" fontId="4" fillId="0" borderId="1" xfId="0" applyNumberFormat="1" applyFont="1" applyFill="1" applyBorder="1"/>
    <xf numFmtId="0" fontId="3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0" fillId="0" borderId="0" xfId="0" applyFill="1" applyAlignment="1"/>
    <xf numFmtId="0" fontId="6" fillId="0" borderId="0" xfId="0" applyFont="1" applyFill="1"/>
    <xf numFmtId="0" fontId="6" fillId="0" borderId="0" xfId="0" applyFont="1" applyFill="1" applyAlignment="1"/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/>
    <xf numFmtId="0" fontId="9" fillId="0" borderId="0" xfId="0" applyFont="1" applyFill="1"/>
    <xf numFmtId="0" fontId="10" fillId="0" borderId="3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/>
    <xf numFmtId="3" fontId="15" fillId="0" borderId="1" xfId="0" applyNumberFormat="1" applyFont="1" applyFill="1" applyBorder="1"/>
    <xf numFmtId="0" fontId="15" fillId="0" borderId="1" xfId="0" applyFont="1" applyFill="1" applyBorder="1"/>
    <xf numFmtId="165" fontId="15" fillId="0" borderId="1" xfId="0" applyNumberFormat="1" applyFont="1" applyFill="1" applyBorder="1"/>
    <xf numFmtId="4" fontId="15" fillId="0" borderId="1" xfId="0" applyNumberFormat="1" applyFont="1" applyFill="1" applyBorder="1"/>
    <xf numFmtId="0" fontId="10" fillId="0" borderId="1" xfId="0" applyFont="1" applyFill="1" applyBorder="1"/>
    <xf numFmtId="3" fontId="14" fillId="0" borderId="1" xfId="0" applyNumberFormat="1" applyFont="1" applyFill="1" applyBorder="1"/>
    <xf numFmtId="165" fontId="14" fillId="0" borderId="1" xfId="0" applyNumberFormat="1" applyFont="1" applyFill="1" applyBorder="1"/>
    <xf numFmtId="164" fontId="14" fillId="0" borderId="1" xfId="0" applyNumberFormat="1" applyFont="1" applyFill="1" applyBorder="1"/>
    <xf numFmtId="4" fontId="14" fillId="0" borderId="1" xfId="0" applyNumberFormat="1" applyFont="1" applyFill="1" applyBorder="1"/>
    <xf numFmtId="0" fontId="14" fillId="0" borderId="1" xfId="0" applyFont="1" applyFill="1" applyBorder="1"/>
    <xf numFmtId="0" fontId="5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3" fontId="5" fillId="0" borderId="0" xfId="0" applyNumberFormat="1" applyFont="1" applyFill="1" applyAlignment="1">
      <alignment wrapText="1"/>
    </xf>
    <xf numFmtId="0" fontId="17" fillId="0" borderId="0" xfId="0" applyFont="1" applyFill="1" applyAlignment="1">
      <alignment horizontal="center" wrapText="1"/>
    </xf>
    <xf numFmtId="166" fontId="0" fillId="0" borderId="0" xfId="0" applyNumberFormat="1" applyFill="1"/>
    <xf numFmtId="0" fontId="16" fillId="0" borderId="0" xfId="0" applyFont="1" applyFill="1"/>
    <xf numFmtId="166" fontId="16" fillId="0" borderId="0" xfId="0" applyNumberFormat="1" applyFont="1" applyFill="1"/>
    <xf numFmtId="2" fontId="16" fillId="0" borderId="0" xfId="0" applyNumberFormat="1" applyFont="1" applyFill="1" applyAlignment="1">
      <alignment wrapText="1"/>
    </xf>
    <xf numFmtId="49" fontId="16" fillId="0" borderId="0" xfId="0" applyNumberFormat="1" applyFont="1" applyFill="1" applyAlignment="1">
      <alignment horizontal="right" wrapText="1"/>
    </xf>
    <xf numFmtId="2" fontId="16" fillId="0" borderId="0" xfId="0" applyNumberFormat="1" applyFont="1" applyFill="1" applyAlignment="1">
      <alignment horizontal="center" wrapText="1"/>
    </xf>
    <xf numFmtId="49" fontId="16" fillId="0" borderId="0" xfId="0" applyNumberFormat="1" applyFont="1" applyFill="1" applyAlignment="1">
      <alignment horizontal="center" wrapText="1"/>
    </xf>
    <xf numFmtId="49" fontId="16" fillId="0" borderId="0" xfId="0" applyNumberFormat="1" applyFont="1" applyFill="1" applyAlignment="1">
      <alignment wrapText="1"/>
    </xf>
    <xf numFmtId="166" fontId="16" fillId="0" borderId="0" xfId="0" applyNumberFormat="1" applyFont="1" applyFill="1" applyAlignment="1">
      <alignment horizontal="center" wrapText="1"/>
    </xf>
    <xf numFmtId="2" fontId="16" fillId="0" borderId="0" xfId="0" applyNumberFormat="1" applyFont="1" applyFill="1" applyAlignment="1">
      <alignment horizontal="right" wrapText="1"/>
    </xf>
    <xf numFmtId="166" fontId="21" fillId="0" borderId="0" xfId="0" applyNumberFormat="1" applyFont="1" applyFill="1" applyAlignment="1">
      <alignment horizontal="center" wrapText="1"/>
    </xf>
    <xf numFmtId="167" fontId="16" fillId="0" borderId="0" xfId="0" applyNumberFormat="1" applyFont="1" applyFill="1"/>
    <xf numFmtId="166" fontId="15" fillId="0" borderId="1" xfId="0" applyNumberFormat="1" applyFont="1" applyFill="1" applyBorder="1"/>
    <xf numFmtId="166" fontId="16" fillId="0" borderId="0" xfId="0" applyNumberFormat="1" applyFont="1" applyFill="1" applyBorder="1"/>
    <xf numFmtId="4" fontId="16" fillId="0" borderId="0" xfId="0" applyNumberFormat="1" applyFont="1" applyFill="1"/>
    <xf numFmtId="166" fontId="16" fillId="0" borderId="0" xfId="0" applyNumberFormat="1" applyFont="1" applyFill="1" applyAlignment="1">
      <alignment wrapText="1"/>
    </xf>
    <xf numFmtId="166" fontId="21" fillId="0" borderId="0" xfId="0" applyNumberFormat="1" applyFont="1" applyFill="1"/>
    <xf numFmtId="166" fontId="14" fillId="0" borderId="1" xfId="0" applyNumberFormat="1" applyFont="1" applyFill="1" applyBorder="1"/>
    <xf numFmtId="0" fontId="1" fillId="0" borderId="0" xfId="0" applyFont="1" applyFill="1"/>
    <xf numFmtId="166" fontId="11" fillId="0" borderId="0" xfId="0" applyNumberFormat="1" applyFont="1" applyFill="1"/>
    <xf numFmtId="4" fontId="11" fillId="0" borderId="0" xfId="0" applyNumberFormat="1" applyFont="1" applyFill="1"/>
    <xf numFmtId="166" fontId="11" fillId="0" borderId="0" xfId="0" applyNumberFormat="1" applyFont="1" applyFill="1" applyAlignment="1">
      <alignment wrapText="1"/>
    </xf>
    <xf numFmtId="166" fontId="22" fillId="0" borderId="0" xfId="0" applyNumberFormat="1" applyFont="1" applyFill="1"/>
    <xf numFmtId="166" fontId="1" fillId="0" borderId="0" xfId="0" applyNumberFormat="1" applyFont="1" applyFill="1"/>
    <xf numFmtId="4" fontId="0" fillId="0" borderId="0" xfId="0" applyNumberFormat="1" applyFill="1"/>
    <xf numFmtId="0" fontId="3" fillId="0" borderId="0" xfId="0" applyNumberFormat="1" applyFont="1" applyFill="1" applyAlignment="1">
      <alignment wrapText="1"/>
    </xf>
    <xf numFmtId="0" fontId="0" fillId="0" borderId="0" xfId="0" applyFill="1" applyAlignment="1">
      <alignment wrapText="1"/>
    </xf>
  </cellXfs>
  <cellStyles count="2">
    <cellStyle name="Normal_ФФПМР_ИБР_Ставрополь_2006 4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70;&#1044;&#1046;&#1045;&#1058;&#1053;&#1054;&#1043;&#1054;%20&#1055;&#1051;&#1040;&#1053;&#1048;&#1056;&#1054;&#1042;&#1040;&#1053;&#1048;&#1071;/&#1041;&#1102;&#1076;&#1078;&#1077;&#1090;%202022/&#1044;&#1059;&#1052;&#1040;/00.%20&#1055;&#1056;&#1054;&#1045;&#1050;&#1058;%202022-2024/&#1056;&#1040;&#1057;&#1063;&#1045;&#1058;%20&#1044;&#1054;&#1058;&#1040;&#1062;&#1048;&#1048;%20&#1055;&#1054;&#1057;&#1045;&#1051;&#1045;&#1053;&#1048;&#1071;-2022-2024/2021/&#1056;&#1072;&#1089;&#1095;&#1077;&#1090;%20&#1076;&#1086;&#1090;&#1072;&#1094;&#1080;&#1081;%20&#1080;&#1079;%20&#1056;&#1060;&#1060;&#1055;&#1055;%20&#1085;&#1072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1 часть дотации"/>
      <sheetName val="ИНП"/>
      <sheetName val="ИБР"/>
      <sheetName val="2 часть дотации"/>
      <sheetName val="Лист1"/>
      <sheetName val="Лист2"/>
    </sheetNames>
    <sheetDataSet>
      <sheetData sheetId="0" refreshError="1">
        <row r="6">
          <cell r="B6">
            <v>226858.99999999997</v>
          </cell>
        </row>
      </sheetData>
      <sheetData sheetId="1" refreshError="1"/>
      <sheetData sheetId="2" refreshError="1"/>
      <sheetData sheetId="3" refreshError="1"/>
      <sheetData sheetId="4" refreshError="1">
        <row r="9">
          <cell r="L9">
            <v>59420.631999763908</v>
          </cell>
        </row>
        <row r="19">
          <cell r="D19">
            <v>152630.50000000003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2"/>
  <sheetViews>
    <sheetView zoomScale="70" zoomScaleNormal="70" workbookViewId="0">
      <selection activeCell="L6" sqref="L6"/>
    </sheetView>
  </sheetViews>
  <sheetFormatPr defaultColWidth="9.140625" defaultRowHeight="18" x14ac:dyDescent="0.25"/>
  <cols>
    <col min="1" max="1" width="59.5703125" style="6" customWidth="1"/>
    <col min="2" max="2" width="20.42578125" style="6" customWidth="1"/>
    <col min="3" max="3" width="0" style="6" hidden="1" customWidth="1"/>
    <col min="4" max="4" width="29.85546875" style="6" hidden="1" customWidth="1"/>
    <col min="5" max="5" width="0" style="6" hidden="1" customWidth="1"/>
    <col min="6" max="6" width="27.7109375" style="6" hidden="1" customWidth="1"/>
    <col min="7" max="7" width="24.42578125" style="87" hidden="1" customWidth="1"/>
    <col min="8" max="8" width="21" style="6" hidden="1" customWidth="1"/>
    <col min="9" max="9" width="21" style="6" customWidth="1"/>
    <col min="10" max="10" width="15.85546875" style="6" customWidth="1"/>
    <col min="11" max="11" width="22.140625" style="6" customWidth="1"/>
    <col min="12" max="12" width="18" style="6" customWidth="1"/>
    <col min="13" max="14" width="22.28515625" style="6" customWidth="1"/>
    <col min="15" max="15" width="20.5703125" style="6" customWidth="1"/>
    <col min="16" max="16384" width="9.140625" style="6"/>
  </cols>
  <sheetData>
    <row r="1" spans="1:17" ht="18.75" thickBot="1" x14ac:dyDescent="0.3"/>
    <row r="2" spans="1:17" ht="66" customHeight="1" x14ac:dyDescent="0.35">
      <c r="A2" s="88" t="s">
        <v>91</v>
      </c>
      <c r="B2" s="89"/>
      <c r="C2" s="90"/>
      <c r="D2" s="91"/>
      <c r="E2" s="92" t="s">
        <v>70</v>
      </c>
      <c r="F2" s="92"/>
      <c r="G2" s="92"/>
    </row>
    <row r="3" spans="1:17" ht="20.25" x14ac:dyDescent="0.3">
      <c r="A3" s="93"/>
      <c r="B3" s="94"/>
      <c r="C3" s="95"/>
      <c r="D3" s="96"/>
      <c r="E3" s="92"/>
      <c r="F3" s="92"/>
      <c r="G3" s="92"/>
      <c r="I3" s="97"/>
      <c r="J3" s="97"/>
      <c r="K3" s="97"/>
      <c r="L3" s="97"/>
      <c r="M3" s="97"/>
      <c r="N3" s="97"/>
      <c r="O3" s="97"/>
    </row>
    <row r="4" spans="1:17" ht="60.75" x14ac:dyDescent="0.3">
      <c r="A4" s="98" t="s">
        <v>43</v>
      </c>
      <c r="B4" s="99">
        <f>B5+B6+B7</f>
        <v>309153.5</v>
      </c>
      <c r="C4" s="95"/>
      <c r="D4" s="100">
        <f>B4/F4</f>
        <v>1.0091368036496293</v>
      </c>
      <c r="E4" s="9"/>
      <c r="F4" s="101">
        <f>F5+F6+F7</f>
        <v>306354.40000000002</v>
      </c>
      <c r="G4" s="101">
        <f>B4-F4</f>
        <v>2799.0999999999767</v>
      </c>
      <c r="H4" s="87"/>
      <c r="I4" s="87"/>
      <c r="J4" s="87"/>
      <c r="K4" s="87"/>
      <c r="L4" s="87"/>
      <c r="M4" s="87"/>
      <c r="N4" s="87"/>
      <c r="O4" s="87"/>
      <c r="P4" s="87"/>
      <c r="Q4" s="87"/>
    </row>
    <row r="5" spans="1:17" ht="69.75" customHeight="1" x14ac:dyDescent="0.3">
      <c r="A5" s="102" t="s">
        <v>64</v>
      </c>
      <c r="B5" s="103">
        <f>73927.5-904.8</f>
        <v>73022.7</v>
      </c>
      <c r="C5" s="95"/>
      <c r="D5" s="104">
        <f t="shared" ref="D5:D10" si="0">B5/F5</f>
        <v>0.99115432226119249</v>
      </c>
      <c r="E5" s="9"/>
      <c r="F5" s="105">
        <v>73674.399999999994</v>
      </c>
      <c r="G5" s="105">
        <f t="shared" ref="G5:G6" si="1">B5-F5</f>
        <v>-651.69999999999709</v>
      </c>
      <c r="H5" s="87"/>
      <c r="I5" s="87"/>
      <c r="J5" s="87"/>
      <c r="K5" s="87"/>
      <c r="L5" s="87"/>
      <c r="M5" s="87"/>
      <c r="N5" s="87"/>
      <c r="O5" s="87"/>
      <c r="P5" s="87"/>
      <c r="Q5" s="87"/>
    </row>
    <row r="6" spans="1:17" ht="54.75" customHeight="1" x14ac:dyDescent="0.3">
      <c r="A6" s="102" t="s">
        <v>65</v>
      </c>
      <c r="B6" s="103">
        <v>136714</v>
      </c>
      <c r="C6" s="95"/>
      <c r="D6" s="104">
        <f t="shared" si="0"/>
        <v>1.02589462057042</v>
      </c>
      <c r="E6" s="9"/>
      <c r="F6" s="105">
        <v>133263.20000000001</v>
      </c>
      <c r="G6" s="105">
        <f t="shared" si="1"/>
        <v>3450.7999999999884</v>
      </c>
      <c r="H6" s="87"/>
      <c r="I6" s="87"/>
      <c r="J6" s="87"/>
      <c r="K6" s="87"/>
      <c r="L6" s="87"/>
      <c r="M6" s="87"/>
      <c r="N6" s="87"/>
      <c r="O6" s="87"/>
      <c r="P6" s="87"/>
      <c r="Q6" s="87"/>
    </row>
    <row r="7" spans="1:17" ht="33.75" customHeight="1" x14ac:dyDescent="0.3">
      <c r="A7" s="102" t="s">
        <v>66</v>
      </c>
      <c r="B7" s="103">
        <v>99416.8</v>
      </c>
      <c r="C7" s="95"/>
      <c r="D7" s="104">
        <f t="shared" si="0"/>
        <v>1</v>
      </c>
      <c r="E7" s="9"/>
      <c r="F7" s="105">
        <v>99416.8</v>
      </c>
      <c r="G7" s="105">
        <f>B7-F7</f>
        <v>0</v>
      </c>
      <c r="H7" s="87"/>
      <c r="I7" s="87"/>
      <c r="J7" s="87"/>
      <c r="K7" s="87"/>
      <c r="L7" s="87"/>
      <c r="M7" s="87"/>
      <c r="N7" s="87"/>
      <c r="O7" s="87"/>
      <c r="P7" s="87"/>
      <c r="Q7" s="87"/>
    </row>
    <row r="8" spans="1:17" ht="93.75" customHeight="1" x14ac:dyDescent="0.3">
      <c r="A8" s="98" t="s">
        <v>44</v>
      </c>
      <c r="B8" s="103">
        <f>B5</f>
        <v>73022.7</v>
      </c>
      <c r="C8" s="95"/>
      <c r="D8" s="106">
        <f t="shared" si="0"/>
        <v>0.99115432226119249</v>
      </c>
      <c r="E8" s="9"/>
      <c r="F8" s="105">
        <v>73674.399999999994</v>
      </c>
      <c r="G8" s="101">
        <f>B8-F8</f>
        <v>-651.69999999999709</v>
      </c>
      <c r="H8" s="87"/>
      <c r="I8" s="87"/>
      <c r="J8" s="87"/>
      <c r="K8" s="87"/>
      <c r="L8" s="87"/>
      <c r="M8" s="87"/>
      <c r="N8" s="87"/>
      <c r="O8" s="87"/>
      <c r="P8" s="87"/>
      <c r="Q8" s="87"/>
    </row>
    <row r="9" spans="1:17" ht="99" customHeight="1" x14ac:dyDescent="0.3">
      <c r="A9" s="98" t="s">
        <v>45</v>
      </c>
      <c r="B9" s="103">
        <f>B4-B8</f>
        <v>236130.8</v>
      </c>
      <c r="C9" s="95"/>
      <c r="D9" s="106">
        <f t="shared" si="0"/>
        <v>1.75419389598929</v>
      </c>
      <c r="E9" s="9"/>
      <c r="F9" s="105">
        <v>134609.29292929295</v>
      </c>
      <c r="G9" s="101">
        <f>B9-F9</f>
        <v>101521.50707070704</v>
      </c>
      <c r="H9" s="87"/>
      <c r="I9" s="87"/>
      <c r="J9" s="87"/>
      <c r="K9" s="87"/>
      <c r="L9" s="87"/>
      <c r="M9" s="87"/>
      <c r="N9" s="87"/>
      <c r="O9" s="87"/>
      <c r="P9" s="87"/>
      <c r="Q9" s="87"/>
    </row>
    <row r="10" spans="1:17" ht="67.5" customHeight="1" x14ac:dyDescent="0.35">
      <c r="A10" s="107"/>
      <c r="B10" s="108"/>
      <c r="C10" s="109"/>
      <c r="D10" s="110"/>
      <c r="E10" s="11"/>
      <c r="F10" s="111"/>
      <c r="G10" s="111"/>
    </row>
    <row r="11" spans="1:17" ht="109.5" customHeight="1" x14ac:dyDescent="0.25">
      <c r="A11" s="112" t="s">
        <v>20</v>
      </c>
      <c r="B11" s="113"/>
      <c r="C11" s="114"/>
      <c r="D11" s="115" t="s">
        <v>96</v>
      </c>
      <c r="E11" s="116"/>
      <c r="F11" s="115" t="s">
        <v>68</v>
      </c>
      <c r="G11" s="117" t="s">
        <v>56</v>
      </c>
    </row>
    <row r="12" spans="1:17" ht="183" customHeight="1" x14ac:dyDescent="0.3">
      <c r="A12" s="118" t="s">
        <v>46</v>
      </c>
      <c r="B12" s="119">
        <f>D12/D14</f>
        <v>0.24749768836845767</v>
      </c>
      <c r="C12" s="95"/>
      <c r="D12" s="65">
        <v>335074.76</v>
      </c>
      <c r="E12" s="9"/>
      <c r="F12" s="65">
        <v>302953.03000000003</v>
      </c>
      <c r="G12" s="101">
        <f>D12-F12</f>
        <v>32121.729999999981</v>
      </c>
    </row>
    <row r="13" spans="1:17" ht="135" customHeight="1" x14ac:dyDescent="0.3">
      <c r="A13" s="118" t="s">
        <v>50</v>
      </c>
      <c r="B13" s="119">
        <f>D13/D14</f>
        <v>2.8010435681489306E-2</v>
      </c>
      <c r="C13" s="95"/>
      <c r="D13" s="65">
        <v>37921.93</v>
      </c>
      <c r="E13" s="9"/>
      <c r="F13" s="65">
        <v>34670.959999999999</v>
      </c>
      <c r="G13" s="101">
        <f>D13-F13</f>
        <v>3250.9700000000012</v>
      </c>
    </row>
    <row r="14" spans="1:17" ht="35.25" customHeight="1" x14ac:dyDescent="0.3">
      <c r="A14" s="118" t="s">
        <v>42</v>
      </c>
      <c r="B14" s="120"/>
      <c r="C14" s="95"/>
      <c r="D14" s="67">
        <v>1353850.0589999999</v>
      </c>
      <c r="E14" s="40"/>
      <c r="F14" s="121">
        <v>859974.96699999995</v>
      </c>
      <c r="G14" s="101">
        <f>D14-F14</f>
        <v>493875.09199999995</v>
      </c>
    </row>
    <row r="15" spans="1:17" ht="20.25" x14ac:dyDescent="0.3">
      <c r="A15" s="95"/>
      <c r="B15" s="95"/>
      <c r="C15" s="95"/>
      <c r="D15" s="95"/>
      <c r="E15" s="10"/>
      <c r="F15" s="10"/>
      <c r="G15" s="122"/>
    </row>
    <row r="16" spans="1:17" ht="20.25" x14ac:dyDescent="0.3">
      <c r="A16" s="95"/>
      <c r="B16" s="95"/>
      <c r="C16" s="95"/>
      <c r="D16" s="95"/>
      <c r="E16" s="10"/>
      <c r="F16" s="10"/>
      <c r="G16" s="122"/>
    </row>
    <row r="17" spans="1:7" ht="45" customHeight="1" x14ac:dyDescent="0.3">
      <c r="A17" s="123" t="s">
        <v>19</v>
      </c>
      <c r="B17" s="124"/>
      <c r="C17" s="95"/>
      <c r="D17" s="125"/>
      <c r="E17" s="125"/>
      <c r="F17" s="115"/>
      <c r="G17" s="125"/>
    </row>
    <row r="18" spans="1:7" ht="81" x14ac:dyDescent="0.3">
      <c r="A18" s="118" t="s">
        <v>47</v>
      </c>
      <c r="B18" s="119">
        <f>D18/D22</f>
        <v>0.11303738769493972</v>
      </c>
      <c r="C18" s="95"/>
      <c r="D18" s="66">
        <v>153035.674</v>
      </c>
      <c r="E18" s="9"/>
      <c r="F18" s="66">
        <v>123655.91800000001</v>
      </c>
      <c r="G18" s="105">
        <f>D18-F18</f>
        <v>29379.755999999994</v>
      </c>
    </row>
    <row r="19" spans="1:7" ht="60.75" x14ac:dyDescent="0.3">
      <c r="A19" s="118" t="s">
        <v>48</v>
      </c>
      <c r="B19" s="119">
        <f>D19/D22</f>
        <v>4.3209349226759541E-3</v>
      </c>
      <c r="C19" s="95"/>
      <c r="D19" s="66">
        <v>5849.8980000000001</v>
      </c>
      <c r="E19" s="9"/>
      <c r="F19" s="66">
        <v>5153.9139999999998</v>
      </c>
      <c r="G19" s="105">
        <f>D19-F19</f>
        <v>695.98400000000038</v>
      </c>
    </row>
    <row r="20" spans="1:7" ht="31.5" customHeight="1" x14ac:dyDescent="0.3">
      <c r="A20" s="118" t="s">
        <v>30</v>
      </c>
      <c r="B20" s="119">
        <f>D20/D22</f>
        <v>1.6859420176012271E-2</v>
      </c>
      <c r="C20" s="95"/>
      <c r="D20" s="66">
        <v>22825.127</v>
      </c>
      <c r="E20" s="9"/>
      <c r="F20" s="66">
        <v>86401.679000000004</v>
      </c>
      <c r="G20" s="105">
        <f t="shared" ref="G20:G22" si="2">D20-F20</f>
        <v>-63576.552000000003</v>
      </c>
    </row>
    <row r="21" spans="1:7" ht="40.5" x14ac:dyDescent="0.3">
      <c r="A21" s="118" t="s">
        <v>49</v>
      </c>
      <c r="B21" s="119">
        <f>D21/D22</f>
        <v>0.86578225720637192</v>
      </c>
      <c r="C21" s="95"/>
      <c r="D21" s="66">
        <f>D22-D18-D19-D20</f>
        <v>1172139.3599999996</v>
      </c>
      <c r="E21" s="9"/>
      <c r="F21" s="66">
        <f>F22-F18-F19-F20</f>
        <v>644763.45599999989</v>
      </c>
      <c r="G21" s="105">
        <f t="shared" si="2"/>
        <v>527375.90399999975</v>
      </c>
    </row>
    <row r="22" spans="1:7" ht="21" thickBot="1" x14ac:dyDescent="0.35">
      <c r="A22" s="126" t="s">
        <v>15</v>
      </c>
      <c r="B22" s="127">
        <f>B18+B19+B20+B21</f>
        <v>0.99999999999999989</v>
      </c>
      <c r="C22" s="95"/>
      <c r="D22" s="67">
        <v>1353850.0589999999</v>
      </c>
      <c r="E22" s="40"/>
      <c r="F22" s="67">
        <v>859974.96699999995</v>
      </c>
      <c r="G22" s="105">
        <f t="shared" si="2"/>
        <v>493875.09199999995</v>
      </c>
    </row>
  </sheetData>
  <customSheetViews>
    <customSheetView guid="{CE336351-7BD3-4872-92F0-8965CF315520}" scale="60" showPageBreaks="1" view="pageBreakPreview">
      <selection activeCell="F17" sqref="F17"/>
      <colBreaks count="1" manualBreakCount="1">
        <brk id="4" max="1048575" man="1"/>
      </colBreaks>
      <pageMargins left="0.74803149606299213" right="0.74803149606299213" top="0.98425196850393704" bottom="0.98425196850393704" header="0.51181102362204722" footer="0.51181102362204722"/>
      <pageSetup paperSize="9" scale="50" orientation="portrait" r:id="rId1"/>
      <headerFooter alignWithMargins="0"/>
    </customSheetView>
    <customSheetView guid="{302671BE-4EBD-4277-AB7D-2E6FD69B3D87}" scale="60" showPageBreaks="1" view="pageBreakPreview" topLeftCell="A10">
      <selection activeCell="D11" sqref="D11"/>
      <colBreaks count="1" manualBreakCount="1">
        <brk id="4" max="1048575" man="1"/>
      </colBreaks>
      <pageMargins left="0.74803149606299213" right="0.74803149606299213" top="0.98425196850393704" bottom="0.98425196850393704" header="0.51181102362204722" footer="0.51181102362204722"/>
      <pageSetup paperSize="9" scale="50" orientation="portrait" r:id="rId2"/>
      <headerFooter alignWithMargins="0"/>
    </customSheetView>
  </customSheetViews>
  <mergeCells count="5">
    <mergeCell ref="A11:B11"/>
    <mergeCell ref="A17:B17"/>
    <mergeCell ref="E2:G3"/>
    <mergeCell ref="A2:B2"/>
    <mergeCell ref="D2:D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49" orientation="portrait" r:id="rId3"/>
  <headerFooter alignWithMargins="0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F20"/>
  <sheetViews>
    <sheetView workbookViewId="0">
      <selection activeCell="C29" sqref="C29"/>
    </sheetView>
  </sheetViews>
  <sheetFormatPr defaultColWidth="9.140625" defaultRowHeight="12.75" x14ac:dyDescent="0.2"/>
  <cols>
    <col min="1" max="1" width="11" style="1" customWidth="1"/>
    <col min="2" max="2" width="30.28515625" style="1" customWidth="1"/>
    <col min="3" max="3" width="24.28515625" style="1" customWidth="1"/>
    <col min="4" max="4" width="22.5703125" style="1" customWidth="1"/>
    <col min="5" max="16384" width="9.140625" style="1"/>
  </cols>
  <sheetData>
    <row r="2" spans="1:4" x14ac:dyDescent="0.2">
      <c r="A2" s="72" t="s">
        <v>74</v>
      </c>
      <c r="B2" s="72"/>
      <c r="C2" s="72"/>
      <c r="D2" s="72"/>
    </row>
    <row r="3" spans="1:4" x14ac:dyDescent="0.2">
      <c r="A3" s="72"/>
      <c r="B3" s="72"/>
      <c r="C3" s="72"/>
      <c r="D3" s="72"/>
    </row>
    <row r="4" spans="1:4" ht="18" x14ac:dyDescent="0.25">
      <c r="A4" s="2"/>
      <c r="B4" s="2"/>
      <c r="C4" s="2"/>
      <c r="D4" s="2"/>
    </row>
    <row r="5" spans="1:4" ht="12.75" customHeight="1" x14ac:dyDescent="0.2">
      <c r="A5" s="73" t="s">
        <v>0</v>
      </c>
      <c r="B5" s="70" t="s">
        <v>14</v>
      </c>
      <c r="C5" s="70" t="s">
        <v>75</v>
      </c>
      <c r="D5" s="70" t="s">
        <v>76</v>
      </c>
    </row>
    <row r="6" spans="1:4" ht="74.25" customHeight="1" x14ac:dyDescent="0.2">
      <c r="A6" s="74"/>
      <c r="B6" s="71"/>
      <c r="C6" s="71"/>
      <c r="D6" s="71"/>
    </row>
    <row r="7" spans="1:4" ht="18" customHeight="1" x14ac:dyDescent="0.25">
      <c r="A7" s="9">
        <v>1</v>
      </c>
      <c r="B7" s="9" t="s">
        <v>1</v>
      </c>
      <c r="C7" s="62">
        <v>11143</v>
      </c>
      <c r="D7" s="128">
        <f>параметры!$B$8*'1 часть дотации'!C7/'1 часть дотации'!$C$17</f>
        <v>26933.631660653406</v>
      </c>
    </row>
    <row r="8" spans="1:4" ht="18" x14ac:dyDescent="0.25">
      <c r="A8" s="9">
        <v>2</v>
      </c>
      <c r="B8" s="9" t="s">
        <v>2</v>
      </c>
      <c r="C8" s="62">
        <v>2518</v>
      </c>
      <c r="D8" s="128">
        <f>параметры!$B$8*'1 часть дотации'!C8/'1 часть дотации'!$C$17</f>
        <v>6086.2321207507193</v>
      </c>
    </row>
    <row r="9" spans="1:4" ht="18" customHeight="1" x14ac:dyDescent="0.25">
      <c r="A9" s="9">
        <v>3</v>
      </c>
      <c r="B9" s="9" t="s">
        <v>3</v>
      </c>
      <c r="C9" s="62">
        <v>1525</v>
      </c>
      <c r="D9" s="128">
        <f>параметры!$B$8*'1 часть дотации'!C9/'1 часть дотации'!$C$17</f>
        <v>3686.0619476349675</v>
      </c>
    </row>
    <row r="10" spans="1:4" ht="18" x14ac:dyDescent="0.25">
      <c r="A10" s="9">
        <v>4</v>
      </c>
      <c r="B10" s="9" t="s">
        <v>4</v>
      </c>
      <c r="C10" s="62">
        <v>2434</v>
      </c>
      <c r="D10" s="128">
        <f>параметры!$B$8*'1 часть дотации'!C10/'1 часть дотации'!$C$17</f>
        <v>5883.1965774055798</v>
      </c>
    </row>
    <row r="11" spans="1:4" ht="18" customHeight="1" x14ac:dyDescent="0.25">
      <c r="A11" s="9">
        <v>5</v>
      </c>
      <c r="B11" s="9" t="s">
        <v>5</v>
      </c>
      <c r="C11" s="62">
        <v>4036</v>
      </c>
      <c r="D11" s="128">
        <f>параметры!$B$8*'1 часть дотации'!C11/'1 часть дотации'!$C$17</f>
        <v>9755.3744397735918</v>
      </c>
    </row>
    <row r="12" spans="1:4" ht="18" x14ac:dyDescent="0.25">
      <c r="A12" s="9">
        <v>6</v>
      </c>
      <c r="B12" s="9" t="s">
        <v>6</v>
      </c>
      <c r="C12" s="62">
        <v>2570</v>
      </c>
      <c r="D12" s="128">
        <f>параметры!$B$8*'1 часть дотации'!C12/'1 часть дотации'!$C$17</f>
        <v>6211.9207904405685</v>
      </c>
    </row>
    <row r="13" spans="1:4" ht="18" customHeight="1" x14ac:dyDescent="0.25">
      <c r="A13" s="9">
        <v>7</v>
      </c>
      <c r="B13" s="9" t="s">
        <v>7</v>
      </c>
      <c r="C13" s="62">
        <v>2414</v>
      </c>
      <c r="D13" s="128">
        <f>параметры!$B$8*'1 часть дотации'!C13/'1 часть дотации'!$C$17</f>
        <v>5834.8547813710229</v>
      </c>
    </row>
    <row r="14" spans="1:4" ht="18" x14ac:dyDescent="0.25">
      <c r="A14" s="9">
        <v>8</v>
      </c>
      <c r="B14" s="9" t="s">
        <v>8</v>
      </c>
      <c r="C14" s="62">
        <v>1227</v>
      </c>
      <c r="D14" s="128">
        <f>параметры!$B$8*'1 часть дотации'!C14/'1 часть дотации'!$C$17</f>
        <v>2965.7691867200688</v>
      </c>
    </row>
    <row r="15" spans="1:4" ht="18" customHeight="1" x14ac:dyDescent="0.25">
      <c r="A15" s="9">
        <v>9</v>
      </c>
      <c r="B15" s="9" t="s">
        <v>9</v>
      </c>
      <c r="C15" s="62">
        <v>486</v>
      </c>
      <c r="D15" s="128">
        <f>параметры!$B$8*'1 часть дотации'!C15/'1 часть дотации'!$C$17</f>
        <v>1174.7056436397338</v>
      </c>
    </row>
    <row r="16" spans="1:4" ht="18" x14ac:dyDescent="0.25">
      <c r="A16" s="9">
        <v>10</v>
      </c>
      <c r="B16" s="9" t="s">
        <v>10</v>
      </c>
      <c r="C16" s="62">
        <v>1858</v>
      </c>
      <c r="D16" s="128">
        <f>параметры!$B$8*'1 часть дотации'!C16/'1 часть дотации'!$C$17</f>
        <v>4490.9528516103401</v>
      </c>
    </row>
    <row r="17" spans="1:4" ht="18" x14ac:dyDescent="0.25">
      <c r="A17" s="68" t="s">
        <v>11</v>
      </c>
      <c r="B17" s="69"/>
      <c r="C17" s="63">
        <f>C7+C8+C9+C10+C11+C12+C13+C14+C15+C16</f>
        <v>30211</v>
      </c>
      <c r="D17" s="41">
        <f>D7+D8+D9+D10+D11+D12+D13+D14+D15+D16</f>
        <v>73022.700000000012</v>
      </c>
    </row>
    <row r="18" spans="1:4" ht="18" x14ac:dyDescent="0.25">
      <c r="A18" s="10"/>
      <c r="B18" s="5"/>
      <c r="C18" s="4"/>
    </row>
    <row r="19" spans="1:4" ht="18" customHeight="1" x14ac:dyDescent="0.25">
      <c r="A19" s="2"/>
      <c r="B19" s="6"/>
      <c r="C19" s="2"/>
      <c r="D19" s="2"/>
    </row>
    <row r="20" spans="1:4" ht="18" x14ac:dyDescent="0.25">
      <c r="A20" s="2"/>
      <c r="B20" s="2"/>
      <c r="C20" s="2"/>
      <c r="D20" s="2"/>
    </row>
  </sheetData>
  <customSheetViews>
    <customSheetView guid="{CE336351-7BD3-4872-92F0-8965CF315520}">
      <selection activeCell="A22" sqref="A22"/>
      <pageMargins left="0.36" right="0.26" top="1" bottom="1" header="0.5" footer="0.5"/>
      <pageSetup paperSize="9" orientation="portrait" r:id="rId1"/>
      <headerFooter alignWithMargins="0"/>
    </customSheetView>
    <customSheetView guid="{302671BE-4EBD-4277-AB7D-2E6FD69B3D87}">
      <selection activeCell="E5" sqref="E5:E6"/>
      <pageMargins left="0.36" right="0.26" top="1" bottom="1" header="0.5" footer="0.5"/>
      <pageSetup paperSize="9" orientation="portrait" r:id="rId2"/>
      <headerFooter alignWithMargins="0"/>
    </customSheetView>
  </customSheetViews>
  <mergeCells count="6">
    <mergeCell ref="A17:B17"/>
    <mergeCell ref="D5:D6"/>
    <mergeCell ref="A2:D3"/>
    <mergeCell ref="A5:A6"/>
    <mergeCell ref="B5:B6"/>
    <mergeCell ref="C5:C6"/>
  </mergeCells>
  <phoneticPr fontId="0" type="noConversion"/>
  <pageMargins left="0.36" right="0.26" top="1" bottom="1" header="0.5" footer="0.5"/>
  <pageSetup paperSize="9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U33"/>
  <sheetViews>
    <sheetView workbookViewId="0">
      <pane xSplit="2" ySplit="8" topLeftCell="C15" activePane="bottomRight" state="frozenSplit"/>
      <selection pane="topRight" activeCell="C1" sqref="C1"/>
      <selection pane="bottomLeft" activeCell="A10" sqref="A10"/>
      <selection pane="bottomRight" activeCell="C38" sqref="C38"/>
    </sheetView>
  </sheetViews>
  <sheetFormatPr defaultColWidth="9.140625" defaultRowHeight="12.75" x14ac:dyDescent="0.2"/>
  <cols>
    <col min="1" max="1" width="6.140625" style="12" customWidth="1"/>
    <col min="2" max="2" width="30.85546875" style="12" customWidth="1"/>
    <col min="3" max="3" width="16.7109375" style="12" customWidth="1"/>
    <col min="4" max="4" width="21.7109375" style="12" customWidth="1"/>
    <col min="5" max="5" width="16.28515625" style="12" customWidth="1"/>
    <col min="6" max="6" width="19.28515625" style="12" customWidth="1"/>
    <col min="7" max="7" width="15.28515625" style="12" customWidth="1"/>
    <col min="8" max="8" width="16.85546875" style="12" customWidth="1"/>
    <col min="9" max="9" width="15.42578125" style="12" customWidth="1"/>
    <col min="10" max="10" width="14.85546875" style="12" customWidth="1"/>
    <col min="11" max="11" width="16.85546875" style="12" customWidth="1"/>
    <col min="12" max="12" width="15.85546875" style="12" customWidth="1"/>
    <col min="13" max="13" width="14.85546875" style="12" customWidth="1"/>
    <col min="14" max="14" width="16.28515625" style="12" customWidth="1"/>
    <col min="15" max="16384" width="9.140625" style="12"/>
  </cols>
  <sheetData>
    <row r="2" spans="1:21" x14ac:dyDescent="0.2">
      <c r="A2" s="129" t="s">
        <v>97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21" x14ac:dyDescent="0.2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5" spans="1:21" ht="4.5" customHeight="1" x14ac:dyDescent="0.2"/>
    <row r="6" spans="1:21" ht="18.75" customHeight="1" x14ac:dyDescent="0.2">
      <c r="A6" s="75" t="s">
        <v>0</v>
      </c>
      <c r="B6" s="75" t="s">
        <v>14</v>
      </c>
      <c r="C6" s="75" t="s">
        <v>16</v>
      </c>
      <c r="D6" s="130" t="s">
        <v>77</v>
      </c>
      <c r="E6" s="130" t="s">
        <v>78</v>
      </c>
      <c r="F6" s="75" t="s">
        <v>36</v>
      </c>
      <c r="G6" s="130" t="s">
        <v>79</v>
      </c>
      <c r="H6" s="130" t="s">
        <v>80</v>
      </c>
      <c r="I6" s="75" t="s">
        <v>37</v>
      </c>
      <c r="J6" s="130" t="s">
        <v>92</v>
      </c>
      <c r="K6" s="130" t="s">
        <v>81</v>
      </c>
      <c r="L6" s="75" t="s">
        <v>38</v>
      </c>
      <c r="M6" s="75" t="s">
        <v>39</v>
      </c>
      <c r="N6" s="75" t="s">
        <v>13</v>
      </c>
      <c r="O6" s="131"/>
      <c r="P6" s="131"/>
      <c r="Q6" s="131"/>
      <c r="R6" s="131"/>
      <c r="S6" s="131"/>
      <c r="T6" s="131"/>
      <c r="U6" s="131"/>
    </row>
    <row r="7" spans="1:21" ht="114" customHeight="1" x14ac:dyDescent="0.2">
      <c r="A7" s="76"/>
      <c r="B7" s="76"/>
      <c r="C7" s="76"/>
      <c r="D7" s="130"/>
      <c r="E7" s="130"/>
      <c r="F7" s="76"/>
      <c r="G7" s="130"/>
      <c r="H7" s="130"/>
      <c r="I7" s="76"/>
      <c r="J7" s="130"/>
      <c r="K7" s="130"/>
      <c r="L7" s="76"/>
      <c r="M7" s="76"/>
      <c r="N7" s="76"/>
      <c r="O7" s="131"/>
      <c r="P7" s="131"/>
      <c r="Q7" s="131"/>
      <c r="R7" s="131"/>
      <c r="S7" s="131"/>
      <c r="T7" s="131"/>
      <c r="U7" s="131"/>
    </row>
    <row r="8" spans="1:21" ht="36.75" customHeight="1" x14ac:dyDescent="0.2">
      <c r="A8" s="77"/>
      <c r="B8" s="77"/>
      <c r="C8" s="77"/>
      <c r="D8" s="132" t="s">
        <v>35</v>
      </c>
      <c r="E8" s="132" t="s">
        <v>34</v>
      </c>
      <c r="F8" s="133"/>
      <c r="G8" s="132" t="s">
        <v>35</v>
      </c>
      <c r="H8" s="132" t="s">
        <v>35</v>
      </c>
      <c r="I8" s="133"/>
      <c r="J8" s="132" t="s">
        <v>35</v>
      </c>
      <c r="K8" s="132" t="s">
        <v>35</v>
      </c>
      <c r="L8" s="133"/>
      <c r="M8" s="77"/>
      <c r="N8" s="133"/>
      <c r="O8" s="131"/>
      <c r="P8" s="131"/>
      <c r="Q8" s="131"/>
      <c r="R8" s="131"/>
      <c r="S8" s="131"/>
      <c r="T8" s="131"/>
      <c r="U8" s="131"/>
    </row>
    <row r="9" spans="1:21" ht="20.25" x14ac:dyDescent="0.3">
      <c r="A9" s="13">
        <v>1</v>
      </c>
      <c r="B9" s="134" t="s">
        <v>1</v>
      </c>
      <c r="C9" s="135">
        <f>'1 часть дотации'!C7</f>
        <v>11143</v>
      </c>
      <c r="D9" s="136">
        <v>574693</v>
      </c>
      <c r="E9" s="136">
        <v>50557.9</v>
      </c>
      <c r="F9" s="136">
        <f>($E$9/0.1+$E$10/0.1+$E$11/0.1+$E$12/0.1+$E$13/0.1+$E$14/0.1+$E$15/0.1+$E$16/0.1+$E$17/0.1+$E$18/0.1)*0.1*(D9/$D$19)</f>
        <v>47553.043418328452</v>
      </c>
      <c r="G9" s="136">
        <v>6581</v>
      </c>
      <c r="H9" s="136">
        <v>4800</v>
      </c>
      <c r="I9" s="136">
        <f>$H$19*1*(G9/$G$19)</f>
        <v>4783.7237128961933</v>
      </c>
      <c r="J9" s="136">
        <v>47678</v>
      </c>
      <c r="K9" s="136">
        <v>5795</v>
      </c>
      <c r="L9" s="136">
        <f>$K$19*1*(J9/$J$19)</f>
        <v>8980.7579420117563</v>
      </c>
      <c r="M9" s="136">
        <f>F9+I9+L9</f>
        <v>61317.5250732364</v>
      </c>
      <c r="N9" s="66">
        <f>(M9/C9)/($M$19/$C$19)</f>
        <v>1.2936790580040691</v>
      </c>
    </row>
    <row r="10" spans="1:21" ht="20.25" x14ac:dyDescent="0.3">
      <c r="A10" s="13">
        <v>2</v>
      </c>
      <c r="B10" s="134" t="s">
        <v>2</v>
      </c>
      <c r="C10" s="135">
        <f>'1 часть дотации'!C8</f>
        <v>2518</v>
      </c>
      <c r="D10" s="136">
        <v>123014</v>
      </c>
      <c r="E10" s="136">
        <v>7720</v>
      </c>
      <c r="F10" s="136">
        <f t="shared" ref="F10:F18" si="0">($E$9/0.1+$E$10/0.1+$E$11/0.1+$E$12/0.1+$E$13/0.1+$E$14/0.1+$E$15/0.1+$E$16/0.1+$E$17/0.1+$E$18/0.1)*0.1*(D10/$D$19)</f>
        <v>10178.808656208195</v>
      </c>
      <c r="G10" s="136">
        <v>670</v>
      </c>
      <c r="H10" s="136">
        <v>459</v>
      </c>
      <c r="I10" s="136">
        <f t="shared" ref="I10:I17" si="1">$H$19*1*(G10/$G$19)</f>
        <v>487.02247191011236</v>
      </c>
      <c r="J10" s="136">
        <v>2094</v>
      </c>
      <c r="K10" s="136">
        <v>804</v>
      </c>
      <c r="L10" s="136">
        <f t="shared" ref="L10:L18" si="2">$K$19*1*(J10/$J$19)</f>
        <v>394.43154349118288</v>
      </c>
      <c r="M10" s="136">
        <f t="shared" ref="M10:M18" si="3">F10+I10+L10</f>
        <v>11060.262671609489</v>
      </c>
      <c r="N10" s="66">
        <f t="shared" ref="N10:N19" si="4">(M10/C10)/($M$19/$C$19)</f>
        <v>1.0326514911308913</v>
      </c>
    </row>
    <row r="11" spans="1:21" ht="20.25" x14ac:dyDescent="0.3">
      <c r="A11" s="13">
        <v>3</v>
      </c>
      <c r="B11" s="134" t="s">
        <v>3</v>
      </c>
      <c r="C11" s="135">
        <f>'1 часть дотации'!C9</f>
        <v>1525</v>
      </c>
      <c r="D11" s="136">
        <v>51496</v>
      </c>
      <c r="E11" s="136">
        <v>4341.3999999999996</v>
      </c>
      <c r="F11" s="136">
        <f t="shared" si="0"/>
        <v>4261.0428939803369</v>
      </c>
      <c r="G11" s="136">
        <v>362</v>
      </c>
      <c r="H11" s="136">
        <v>210</v>
      </c>
      <c r="I11" s="136">
        <f t="shared" si="1"/>
        <v>263.1375146738219</v>
      </c>
      <c r="J11" s="136">
        <v>2435</v>
      </c>
      <c r="K11" s="136">
        <v>773</v>
      </c>
      <c r="L11" s="136">
        <f t="shared" si="2"/>
        <v>458.66323228320454</v>
      </c>
      <c r="M11" s="136">
        <f t="shared" si="3"/>
        <v>4982.8436409373635</v>
      </c>
      <c r="N11" s="66">
        <f t="shared" si="4"/>
        <v>0.76815962536805082</v>
      </c>
    </row>
    <row r="12" spans="1:21" ht="20.25" x14ac:dyDescent="0.3">
      <c r="A12" s="13">
        <v>4</v>
      </c>
      <c r="B12" s="134" t="s">
        <v>4</v>
      </c>
      <c r="C12" s="135">
        <f>'1 часть дотации'!C10</f>
        <v>2434</v>
      </c>
      <c r="D12" s="136">
        <v>44853</v>
      </c>
      <c r="E12" s="136">
        <v>4194.8999999999996</v>
      </c>
      <c r="F12" s="136">
        <f t="shared" si="0"/>
        <v>3711.3670367348932</v>
      </c>
      <c r="G12" s="136">
        <v>475</v>
      </c>
      <c r="H12" s="136">
        <v>255</v>
      </c>
      <c r="I12" s="136">
        <f t="shared" si="1"/>
        <v>345.27712560791548</v>
      </c>
      <c r="J12" s="136">
        <v>1710</v>
      </c>
      <c r="K12" s="136">
        <v>731</v>
      </c>
      <c r="L12" s="136">
        <f t="shared" si="2"/>
        <v>322.10025757875968</v>
      </c>
      <c r="M12" s="136">
        <f t="shared" si="3"/>
        <v>4378.7444199215679</v>
      </c>
      <c r="N12" s="66">
        <f t="shared" si="4"/>
        <v>0.42293447154603125</v>
      </c>
    </row>
    <row r="13" spans="1:21" ht="20.25" x14ac:dyDescent="0.3">
      <c r="A13" s="13">
        <v>5</v>
      </c>
      <c r="B13" s="134" t="s">
        <v>5</v>
      </c>
      <c r="C13" s="135">
        <f>'1 часть дотации'!C11</f>
        <v>4036</v>
      </c>
      <c r="D13" s="136">
        <v>91414</v>
      </c>
      <c r="E13" s="136">
        <v>8792.7000000000007</v>
      </c>
      <c r="F13" s="136">
        <f t="shared" si="0"/>
        <v>7564.062744879574</v>
      </c>
      <c r="G13" s="136">
        <v>1677</v>
      </c>
      <c r="H13" s="136">
        <v>1400</v>
      </c>
      <c r="I13" s="136">
        <f t="shared" si="1"/>
        <v>1219.0099781988931</v>
      </c>
      <c r="J13" s="136">
        <v>4652</v>
      </c>
      <c r="K13" s="136">
        <v>2500</v>
      </c>
      <c r="L13" s="136">
        <f t="shared" si="2"/>
        <v>876.26339079321053</v>
      </c>
      <c r="M13" s="136">
        <f t="shared" si="3"/>
        <v>9659.3361138716773</v>
      </c>
      <c r="N13" s="66">
        <f t="shared" si="4"/>
        <v>0.56265240799930627</v>
      </c>
    </row>
    <row r="14" spans="1:21" ht="20.25" x14ac:dyDescent="0.3">
      <c r="A14" s="13">
        <v>6</v>
      </c>
      <c r="B14" s="134" t="s">
        <v>6</v>
      </c>
      <c r="C14" s="135">
        <f>'1 часть дотации'!C12</f>
        <v>2570</v>
      </c>
      <c r="D14" s="136">
        <v>54632</v>
      </c>
      <c r="E14" s="136">
        <v>6011.2</v>
      </c>
      <c r="F14" s="136">
        <f>($E$9/0.1+$E$10/0.1+$E$11/0.1+$E$12/0.1+$E$13/0.1+$E$14/0.1+$E$15/0.1+$E$16/0.1+$E$17/0.1+$E$18/0.1)*0.1*(D14/$D$19)</f>
        <v>4520.5316021425697</v>
      </c>
      <c r="G14" s="136">
        <v>763</v>
      </c>
      <c r="H14" s="136">
        <v>500</v>
      </c>
      <c r="I14" s="136">
        <f t="shared" si="1"/>
        <v>554.62409860808316</v>
      </c>
      <c r="J14" s="136">
        <v>747</v>
      </c>
      <c r="K14" s="136">
        <v>392</v>
      </c>
      <c r="L14" s="136">
        <f t="shared" si="2"/>
        <v>140.70695462651079</v>
      </c>
      <c r="M14" s="136">
        <f>F14+I14+L14</f>
        <v>5215.8626553771637</v>
      </c>
      <c r="N14" s="66">
        <f>(M14/C14)/($M$19/$C$19)</f>
        <v>0.47713039618608327</v>
      </c>
    </row>
    <row r="15" spans="1:21" ht="20.25" x14ac:dyDescent="0.3">
      <c r="A15" s="13">
        <v>7</v>
      </c>
      <c r="B15" s="134" t="s">
        <v>7</v>
      </c>
      <c r="C15" s="135">
        <f>'1 часть дотации'!C13</f>
        <v>2414</v>
      </c>
      <c r="D15" s="136">
        <v>89318</v>
      </c>
      <c r="E15" s="136">
        <v>5834.9</v>
      </c>
      <c r="F15" s="136">
        <f t="shared" si="0"/>
        <v>7390.6289654446127</v>
      </c>
      <c r="G15" s="136">
        <v>487</v>
      </c>
      <c r="H15" s="136">
        <v>369</v>
      </c>
      <c r="I15" s="136">
        <f t="shared" si="1"/>
        <v>353.99991614958913</v>
      </c>
      <c r="J15" s="136">
        <v>433</v>
      </c>
      <c r="K15" s="136">
        <v>150</v>
      </c>
      <c r="L15" s="136">
        <f t="shared" si="2"/>
        <v>81.561059375206383</v>
      </c>
      <c r="M15" s="136">
        <f t="shared" si="3"/>
        <v>7826.1899409694079</v>
      </c>
      <c r="N15" s="66">
        <f t="shared" si="4"/>
        <v>0.76217935206612719</v>
      </c>
    </row>
    <row r="16" spans="1:21" ht="20.25" x14ac:dyDescent="0.3">
      <c r="A16" s="13">
        <v>8</v>
      </c>
      <c r="B16" s="134" t="s">
        <v>8</v>
      </c>
      <c r="C16" s="135">
        <f>'1 часть дотации'!C14</f>
        <v>1227</v>
      </c>
      <c r="D16" s="136">
        <v>18147</v>
      </c>
      <c r="E16" s="136">
        <v>1750.3</v>
      </c>
      <c r="F16" s="136">
        <f t="shared" si="0"/>
        <v>1501.5757611671038</v>
      </c>
      <c r="G16" s="136">
        <v>205</v>
      </c>
      <c r="H16" s="136">
        <v>150</v>
      </c>
      <c r="I16" s="136">
        <f t="shared" si="1"/>
        <v>149.01433842025824</v>
      </c>
      <c r="J16" s="136">
        <v>162</v>
      </c>
      <c r="K16" s="136">
        <v>65</v>
      </c>
      <c r="L16" s="136">
        <f t="shared" si="2"/>
        <v>30.514761244303543</v>
      </c>
      <c r="M16" s="136">
        <f t="shared" si="3"/>
        <v>1681.1048608316657</v>
      </c>
      <c r="N16" s="66">
        <f t="shared" si="4"/>
        <v>0.32210265323871251</v>
      </c>
    </row>
    <row r="17" spans="1:14" ht="20.25" x14ac:dyDescent="0.3">
      <c r="A17" s="13">
        <v>9</v>
      </c>
      <c r="B17" s="134" t="s">
        <v>9</v>
      </c>
      <c r="C17" s="135">
        <f>'1 часть дотации'!C15</f>
        <v>486</v>
      </c>
      <c r="D17" s="136">
        <v>12904</v>
      </c>
      <c r="E17" s="136">
        <v>1200</v>
      </c>
      <c r="F17" s="136">
        <f t="shared" si="0"/>
        <v>1067.743077208371</v>
      </c>
      <c r="G17" s="136">
        <v>116</v>
      </c>
      <c r="H17" s="136">
        <v>76</v>
      </c>
      <c r="I17" s="136">
        <f t="shared" si="1"/>
        <v>84.320308569511994</v>
      </c>
      <c r="J17" s="136">
        <v>50</v>
      </c>
      <c r="K17" s="136">
        <v>28</v>
      </c>
      <c r="L17" s="136">
        <f t="shared" si="2"/>
        <v>9.4181361865134399</v>
      </c>
      <c r="M17" s="136">
        <f t="shared" si="3"/>
        <v>1161.4815219643965</v>
      </c>
      <c r="N17" s="66">
        <f t="shared" si="4"/>
        <v>0.56184962687222773</v>
      </c>
    </row>
    <row r="18" spans="1:14" ht="20.25" x14ac:dyDescent="0.3">
      <c r="A18" s="13">
        <v>10</v>
      </c>
      <c r="B18" s="134" t="s">
        <v>10</v>
      </c>
      <c r="C18" s="135">
        <f>'1 часть дотации'!C16</f>
        <v>1858</v>
      </c>
      <c r="D18" s="136">
        <v>249918</v>
      </c>
      <c r="E18" s="136">
        <v>18025</v>
      </c>
      <c r="F18" s="136">
        <f t="shared" si="0"/>
        <v>20679.495843905894</v>
      </c>
      <c r="G18" s="136">
        <v>590</v>
      </c>
      <c r="H18" s="136">
        <v>450</v>
      </c>
      <c r="I18" s="136">
        <f>$H$19*1*(G18/$G$19)</f>
        <v>428.87053496562135</v>
      </c>
      <c r="J18" s="136">
        <v>603</v>
      </c>
      <c r="K18" s="136">
        <v>170</v>
      </c>
      <c r="L18" s="136">
        <f t="shared" si="2"/>
        <v>113.58272240935209</v>
      </c>
      <c r="M18" s="136">
        <f t="shared" si="3"/>
        <v>21221.949101280868</v>
      </c>
      <c r="N18" s="66">
        <f>(M18/C18)/($M$19/$C$19)</f>
        <v>2.6852431660973579</v>
      </c>
    </row>
    <row r="19" spans="1:14" ht="18" x14ac:dyDescent="0.25">
      <c r="A19" s="14"/>
      <c r="B19" s="137" t="s">
        <v>11</v>
      </c>
      <c r="C19" s="63">
        <f>C9+C10+C11+C12+C13+C14+C15+C16+C17+C18</f>
        <v>30211</v>
      </c>
      <c r="D19" s="64">
        <f t="shared" ref="D19:L19" si="5">D9+D10+D11+D12+D13+D14+D15+D16+D17+D18</f>
        <v>1310389</v>
      </c>
      <c r="E19" s="64">
        <f t="shared" si="5"/>
        <v>108428.29999999999</v>
      </c>
      <c r="F19" s="64">
        <f t="shared" si="5"/>
        <v>108428.3</v>
      </c>
      <c r="G19" s="64">
        <f t="shared" si="5"/>
        <v>11926</v>
      </c>
      <c r="H19" s="64">
        <f t="shared" si="5"/>
        <v>8669</v>
      </c>
      <c r="I19" s="64">
        <f t="shared" si="5"/>
        <v>8669</v>
      </c>
      <c r="J19" s="64">
        <f t="shared" si="5"/>
        <v>60564</v>
      </c>
      <c r="K19" s="64">
        <f t="shared" si="5"/>
        <v>11408</v>
      </c>
      <c r="L19" s="64">
        <f t="shared" si="5"/>
        <v>11407.999999999998</v>
      </c>
      <c r="M19" s="64">
        <f>M9+M10+M11+M12+M13+M14+M15+M16+M17+M18</f>
        <v>128505.29999999999</v>
      </c>
      <c r="N19" s="138">
        <f t="shared" si="4"/>
        <v>1</v>
      </c>
    </row>
    <row r="20" spans="1:14" x14ac:dyDescent="0.2">
      <c r="E20" s="139"/>
      <c r="F20" s="131"/>
      <c r="G20" s="131"/>
      <c r="H20" s="139"/>
      <c r="I20" s="131"/>
      <c r="J20" s="131"/>
      <c r="K20" s="139"/>
    </row>
    <row r="24" spans="1:14" x14ac:dyDescent="0.2">
      <c r="A24" s="17"/>
    </row>
    <row r="25" spans="1:14" x14ac:dyDescent="0.2">
      <c r="A25" s="140" t="s">
        <v>32</v>
      </c>
      <c r="B25" s="140"/>
      <c r="C25" s="140"/>
      <c r="D25" s="140"/>
      <c r="E25" s="140"/>
      <c r="F25" s="140"/>
      <c r="G25" s="140"/>
      <c r="H25" s="140"/>
      <c r="I25" s="140"/>
      <c r="J25" s="141"/>
      <c r="K25" s="141"/>
      <c r="L25" s="141"/>
      <c r="M25" s="141"/>
    </row>
    <row r="26" spans="1:14" ht="24" customHeight="1" x14ac:dyDescent="0.2">
      <c r="A26" s="140"/>
      <c r="B26" s="140"/>
      <c r="C26" s="140"/>
      <c r="D26" s="140"/>
      <c r="E26" s="140"/>
      <c r="F26" s="140"/>
      <c r="G26" s="140"/>
      <c r="H26" s="140"/>
      <c r="I26" s="140"/>
      <c r="J26" s="141"/>
      <c r="K26" s="141"/>
      <c r="L26" s="141"/>
      <c r="M26" s="141"/>
    </row>
    <row r="27" spans="1:14" x14ac:dyDescent="0.2">
      <c r="A27" s="140" t="s">
        <v>33</v>
      </c>
      <c r="B27" s="140"/>
      <c r="C27" s="140"/>
      <c r="D27" s="140"/>
      <c r="E27" s="140"/>
      <c r="F27" s="140"/>
      <c r="G27" s="140"/>
      <c r="H27" s="140"/>
      <c r="I27" s="140"/>
      <c r="J27" s="141"/>
      <c r="K27" s="141"/>
      <c r="L27" s="141"/>
      <c r="M27" s="141"/>
    </row>
    <row r="28" spans="1:14" x14ac:dyDescent="0.2">
      <c r="A28" s="140"/>
      <c r="B28" s="140"/>
      <c r="C28" s="140"/>
      <c r="D28" s="140"/>
      <c r="E28" s="140"/>
      <c r="F28" s="140"/>
      <c r="G28" s="140"/>
      <c r="H28" s="140"/>
      <c r="I28" s="140"/>
      <c r="J28" s="141"/>
      <c r="K28" s="141"/>
      <c r="L28" s="141"/>
      <c r="M28" s="141"/>
    </row>
    <row r="29" spans="1:14" x14ac:dyDescent="0.2">
      <c r="A29" s="140"/>
      <c r="B29" s="140"/>
      <c r="C29" s="140"/>
      <c r="D29" s="140"/>
      <c r="E29" s="140"/>
      <c r="F29" s="140"/>
      <c r="G29" s="140"/>
      <c r="H29" s="140"/>
      <c r="I29" s="140"/>
      <c r="J29" s="141"/>
      <c r="K29" s="141"/>
      <c r="L29" s="141"/>
      <c r="M29" s="141"/>
    </row>
    <row r="30" spans="1:14" ht="15" x14ac:dyDescent="0.2">
      <c r="A30" s="142"/>
      <c r="B30" s="142"/>
      <c r="C30" s="142"/>
      <c r="D30" s="142"/>
      <c r="E30" s="142"/>
      <c r="F30" s="142"/>
      <c r="G30" s="142"/>
      <c r="H30" s="142"/>
      <c r="I30" s="142"/>
    </row>
    <row r="31" spans="1:14" x14ac:dyDescent="0.2">
      <c r="A31" s="143" t="s">
        <v>12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</row>
    <row r="32" spans="1:14" x14ac:dyDescent="0.2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</row>
    <row r="33" spans="1:13" ht="15" customHeight="1" x14ac:dyDescent="0.2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</row>
  </sheetData>
  <customSheetViews>
    <customSheetView guid="{CE336351-7BD3-4872-92F0-8965CF315520}" fitToPage="1" hiddenRows="1">
      <pane xSplit="2" ySplit="9" topLeftCell="C10" activePane="bottomRight" state="frozenSplit"/>
      <selection pane="bottomRight" activeCell="E10" sqref="E10"/>
      <pageMargins left="0.15748031496062992" right="0.15748031496062992" top="0.62992125984251968" bottom="0.6692913385826772" header="0.51181102362204722" footer="0.62992125984251968"/>
      <pageSetup paperSize="9" scale="49" orientation="landscape" r:id="rId1"/>
      <headerFooter alignWithMargins="0"/>
    </customSheetView>
    <customSheetView guid="{302671BE-4EBD-4277-AB7D-2E6FD69B3D87}" fitToPage="1" hiddenRows="1">
      <pane xSplit="2" ySplit="9" topLeftCell="C10" activePane="bottomRight" state="frozenSplit"/>
      <selection pane="bottomRight" activeCell="E10" sqref="E10"/>
      <pageMargins left="0.15748031496062992" right="0.15748031496062992" top="0.62992125984251968" bottom="0.6692913385826772" header="0.51181102362204722" footer="0.62992125984251968"/>
      <pageSetup paperSize="9" scale="49" orientation="landscape" r:id="rId2"/>
      <headerFooter alignWithMargins="0"/>
    </customSheetView>
  </customSheetViews>
  <mergeCells count="18">
    <mergeCell ref="A25:M26"/>
    <mergeCell ref="A27:M29"/>
    <mergeCell ref="A31:M33"/>
    <mergeCell ref="K6:K7"/>
    <mergeCell ref="D6:D7"/>
    <mergeCell ref="A2:N3"/>
    <mergeCell ref="A6:A8"/>
    <mergeCell ref="B6:B8"/>
    <mergeCell ref="C6:C8"/>
    <mergeCell ref="M6:M8"/>
    <mergeCell ref="N6:N8"/>
    <mergeCell ref="G6:G7"/>
    <mergeCell ref="J6:J7"/>
    <mergeCell ref="F6:F8"/>
    <mergeCell ref="I6:I8"/>
    <mergeCell ref="L6:L8"/>
    <mergeCell ref="E6:E7"/>
    <mergeCell ref="H6:H7"/>
  </mergeCells>
  <phoneticPr fontId="0" type="noConversion"/>
  <pageMargins left="0.15748031496062992" right="0.15748031496062992" top="0.62992125984251968" bottom="0.6692913385826772" header="0.51181102362204722" footer="0.62992125984251968"/>
  <pageSetup paperSize="9" scale="50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U138"/>
  <sheetViews>
    <sheetView topLeftCell="D1" zoomScale="80" zoomScaleNormal="80" workbookViewId="0">
      <selection activeCell="T22" sqref="S22:T22"/>
    </sheetView>
  </sheetViews>
  <sheetFormatPr defaultColWidth="9.140625" defaultRowHeight="20.25" x14ac:dyDescent="0.3"/>
  <cols>
    <col min="1" max="1" width="8.42578125" style="6" customWidth="1"/>
    <col min="2" max="2" width="34.42578125" style="147" customWidth="1"/>
    <col min="3" max="3" width="21.42578125" style="6" customWidth="1"/>
    <col min="4" max="4" width="16.5703125" style="6" customWidth="1"/>
    <col min="5" max="5" width="20.85546875" style="6" customWidth="1"/>
    <col min="6" max="6" width="15.7109375" style="6" customWidth="1"/>
    <col min="7" max="7" width="15" style="6" customWidth="1"/>
    <col min="8" max="8" width="17" style="6" customWidth="1"/>
    <col min="9" max="9" width="19" style="6" customWidth="1"/>
    <col min="10" max="10" width="21.28515625" style="6" customWidth="1"/>
    <col min="11" max="11" width="17.7109375" style="6" customWidth="1"/>
    <col min="12" max="12" width="24.42578125" style="6" customWidth="1"/>
    <col min="13" max="13" width="13.28515625" style="6" customWidth="1"/>
    <col min="14" max="14" width="14" style="6" customWidth="1"/>
    <col min="15" max="15" width="16.7109375" style="6" customWidth="1"/>
    <col min="16" max="16" width="13.7109375" style="6" customWidth="1"/>
    <col min="17" max="17" width="14.7109375" style="6" customWidth="1"/>
    <col min="18" max="18" width="21.5703125" style="6" customWidth="1"/>
    <col min="19" max="19" width="15.5703125" style="6" customWidth="1"/>
    <col min="20" max="20" width="15.28515625" style="6" customWidth="1"/>
    <col min="21" max="21" width="19" style="6" customWidth="1"/>
    <col min="22" max="16384" width="9.140625" style="6"/>
  </cols>
  <sheetData>
    <row r="2" spans="1:21" ht="18" x14ac:dyDescent="0.25">
      <c r="A2" s="144" t="s">
        <v>95</v>
      </c>
      <c r="B2" s="144"/>
      <c r="C2" s="144"/>
      <c r="D2" s="144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6"/>
      <c r="S2" s="146"/>
      <c r="T2" s="146"/>
      <c r="U2" s="146"/>
    </row>
    <row r="3" spans="1:21" ht="18" x14ac:dyDescent="0.25">
      <c r="A3" s="144"/>
      <c r="B3" s="144"/>
      <c r="C3" s="144"/>
      <c r="D3" s="144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6"/>
      <c r="S3" s="146"/>
      <c r="T3" s="146"/>
      <c r="U3" s="146"/>
    </row>
    <row r="4" spans="1:21" ht="17.25" customHeight="1" x14ac:dyDescent="0.3"/>
    <row r="5" spans="1:21" s="150" customFormat="1" ht="162.75" customHeight="1" x14ac:dyDescent="0.2">
      <c r="A5" s="73" t="s">
        <v>0</v>
      </c>
      <c r="B5" s="148" t="s">
        <v>14</v>
      </c>
      <c r="C5" s="70" t="s">
        <v>82</v>
      </c>
      <c r="D5" s="92" t="s">
        <v>83</v>
      </c>
      <c r="E5" s="92" t="s">
        <v>84</v>
      </c>
      <c r="F5" s="92" t="s">
        <v>51</v>
      </c>
      <c r="G5" s="149" t="s">
        <v>17</v>
      </c>
      <c r="H5" s="92" t="s">
        <v>85</v>
      </c>
      <c r="I5" s="92" t="s">
        <v>86</v>
      </c>
      <c r="J5" s="92" t="s">
        <v>87</v>
      </c>
      <c r="K5" s="92" t="s">
        <v>18</v>
      </c>
      <c r="L5" s="149" t="s">
        <v>25</v>
      </c>
      <c r="M5" s="149" t="s">
        <v>21</v>
      </c>
      <c r="N5" s="92" t="s">
        <v>22</v>
      </c>
      <c r="O5" s="149" t="s">
        <v>88</v>
      </c>
      <c r="P5" s="92" t="s">
        <v>23</v>
      </c>
      <c r="Q5" s="92" t="s">
        <v>24</v>
      </c>
      <c r="R5" s="70" t="s">
        <v>94</v>
      </c>
      <c r="S5" s="70" t="s">
        <v>40</v>
      </c>
      <c r="T5" s="149" t="s">
        <v>27</v>
      </c>
      <c r="U5" s="92" t="s">
        <v>26</v>
      </c>
    </row>
    <row r="6" spans="1:21" s="150" customFormat="1" ht="51.75" customHeight="1" x14ac:dyDescent="0.2">
      <c r="A6" s="74"/>
      <c r="B6" s="151"/>
      <c r="C6" s="71"/>
      <c r="D6" s="92"/>
      <c r="E6" s="92"/>
      <c r="F6" s="92"/>
      <c r="G6" s="149"/>
      <c r="H6" s="92"/>
      <c r="I6" s="92"/>
      <c r="J6" s="92"/>
      <c r="K6" s="92"/>
      <c r="L6" s="149"/>
      <c r="M6" s="149"/>
      <c r="N6" s="92"/>
      <c r="O6" s="149"/>
      <c r="P6" s="92"/>
      <c r="Q6" s="92"/>
      <c r="R6" s="71"/>
      <c r="S6" s="152"/>
      <c r="T6" s="149"/>
      <c r="U6" s="92"/>
    </row>
    <row r="7" spans="1:21" ht="25.5" x14ac:dyDescent="0.35">
      <c r="A7" s="15">
        <v>1</v>
      </c>
      <c r="B7" s="153" t="s">
        <v>1</v>
      </c>
      <c r="C7" s="154">
        <f>'1 часть дотации'!C7</f>
        <v>11143</v>
      </c>
      <c r="D7" s="154">
        <v>0</v>
      </c>
      <c r="E7" s="155">
        <v>0</v>
      </c>
      <c r="F7" s="156">
        <f>D7/C7</f>
        <v>0</v>
      </c>
      <c r="G7" s="61">
        <f>(1+0.25*F7)/(1+0.25*$F$17)</f>
        <v>0.92744324548343038</v>
      </c>
      <c r="H7" s="157">
        <f>146.18+195.74</f>
        <v>341.92</v>
      </c>
      <c r="I7" s="157">
        <v>6910.56</v>
      </c>
      <c r="J7" s="157">
        <v>12626.44</v>
      </c>
      <c r="K7" s="61">
        <f>0.2*H7*$C$17/($H$7*$C$7+$H$8*$C$8+$H$9*$C$9+$H$10*$C$10+$H$11*$C$11+$H$12*$C$12+$H$13*$C$13+$H$14*$C$14+$H$15*$C$15+$H$16*$C$16)+0.65*I7*$C$17/($I$7*$C$7+$I$8*$C$8+$I$9*$C$9+$I$10*$C$10+$I$11*$C$11+$I$12*$C$12+$I$13*$C$13+$I$14*$C$14+$I$15*$C$15+$I$16*$C$16)+0.15*J7*$C$17/($J$7*$C$7+$J$8*$C$8+$J$9*$C$9+$J$10*$C$10+$J$11*$C$11+$J$12*$C$12+$J$13*$C$13+$J$14*$C$14+$J$15*$C$15+$J$16*$C$16)</f>
        <v>1.0438538477351333</v>
      </c>
      <c r="L7" s="61">
        <f>параметры!$B$12*ИБР!G7+параметры!$B$13*ИБР!K7+1-параметры!$B$12-параметры!$B$13</f>
        <v>0.98327073636300211</v>
      </c>
      <c r="M7" s="155">
        <v>0</v>
      </c>
      <c r="N7" s="61">
        <f>M7+(1-M7)*(AVERAGE($C$7:$C$16))/C7</f>
        <v>0.27112088306560173</v>
      </c>
      <c r="O7" s="157">
        <v>346.25</v>
      </c>
      <c r="P7" s="61">
        <f>(O7/C7)/($O$17/$C$17)</f>
        <v>1.0213195282808714</v>
      </c>
      <c r="Q7" s="61">
        <f>(1+E7/C7)/(1+$E$17/$C$17)</f>
        <v>0.91418283051411631</v>
      </c>
      <c r="R7" s="61">
        <v>81.3</v>
      </c>
      <c r="S7" s="61">
        <f>(R7/C7)/($R$17/$C$17)</f>
        <v>0.62905615848268881</v>
      </c>
      <c r="T7" s="61">
        <f>параметры!$B$18*ИБР!N7+параметры!$B$19*ИБР!P7+параметры!$B$21*ИБР!Q7+параметры!$B$20*ИБР!S7</f>
        <v>0.83714864818023016</v>
      </c>
      <c r="U7" s="61">
        <f>L7*T7*$C$17/SUMPRODUCT($L$7:$L$16,$T$7:$T$16,$C$7:$C$16)</f>
        <v>0.81998331759133447</v>
      </c>
    </row>
    <row r="8" spans="1:21" ht="25.5" x14ac:dyDescent="0.35">
      <c r="A8" s="15">
        <v>2</v>
      </c>
      <c r="B8" s="153" t="s">
        <v>2</v>
      </c>
      <c r="C8" s="154">
        <f>'1 часть дотации'!C8</f>
        <v>2518</v>
      </c>
      <c r="D8" s="154">
        <v>21</v>
      </c>
      <c r="E8" s="155">
        <v>21</v>
      </c>
      <c r="F8" s="156">
        <f t="shared" ref="F8:F16" si="0">D8/C8</f>
        <v>8.339952343129467E-3</v>
      </c>
      <c r="G8" s="61">
        <f t="shared" ref="G8:G17" si="1">(1+0.25*F8)/(1+0.25*$F$17)</f>
        <v>0.92937695360050254</v>
      </c>
      <c r="H8" s="157">
        <f>143.54+0</f>
        <v>143.54</v>
      </c>
      <c r="I8" s="157">
        <v>6781.6</v>
      </c>
      <c r="J8" s="157">
        <v>12626.44</v>
      </c>
      <c r="K8" s="61">
        <f t="shared" ref="K8:K16" si="2">0.2*H8*$C$17/($H$7*$C$7+$H$8*$C$8+$H$9*$C$9+$H$10*$C$10+$H$11*$C$11+$H$12*$C$12+$H$13*$C$13+$H$14*$C$14+$H$15*$C$15+$H$16*$C$16)+0.65*I8*$C$17/($I$7*$C$7+$I$8*$C$8+$I$9*$C$9+$I$10*$C$10+$I$11*$C$11+$I$12*$C$12+$I$13*$C$13+$I$14*$C$14+$I$15*$C$15+$I$16*$C$16)+0.15*J8*$C$17/($J$7*$C$7+$J$8*$C$8+$J$9*$C$9+$J$10*$C$10+$J$11*$C$11+$J$12*$C$12+$J$13*$C$13+$J$14*$C$14+$J$15*$C$15+$J$16*$C$16)</f>
        <v>0.89157792539894687</v>
      </c>
      <c r="L8" s="61">
        <f>параметры!$B$12*ИБР!G8+параметры!$B$13*ИБР!K8+1-параметры!$B$12-параметры!$B$13</f>
        <v>0.97948400972351968</v>
      </c>
      <c r="M8" s="155">
        <f>$M$7</f>
        <v>0</v>
      </c>
      <c r="N8" s="61">
        <f>M8+(1-M8)*(AVERAGE($C$7:$C$16))/C8</f>
        <v>1.1998014297061159</v>
      </c>
      <c r="O8" s="157">
        <v>102.87</v>
      </c>
      <c r="P8" s="61">
        <f t="shared" ref="P8:P17" si="3">(O8/C8)/($O$17/$C$17)</f>
        <v>1.3427865994371833</v>
      </c>
      <c r="Q8" s="61">
        <f t="shared" ref="Q8:Q17" si="4">(1+E8/C8)/(1+$E$17/$C$17)</f>
        <v>0.92180707175351129</v>
      </c>
      <c r="R8" s="61">
        <v>38.799999999999997</v>
      </c>
      <c r="S8" s="61">
        <f t="shared" ref="S8:S17" si="5">(R8/C8)/($R$17/$C$17)</f>
        <v>1.3285472452225253</v>
      </c>
      <c r="T8" s="61">
        <f>параметры!$B$18*ИБР!N8+параметры!$B$19*ИБР!P8+параметры!$B$21*ИБР!Q8+параметры!$B$20*ИБР!S8</f>
        <v>0.96190725640028385</v>
      </c>
      <c r="U8" s="61">
        <f t="shared" ref="U8:U16" si="6">L8*T8*$C$17/SUMPRODUCT($L$7:$L$16,$T$7:$T$16,$C$7:$C$16)</f>
        <v>0.9385553159479898</v>
      </c>
    </row>
    <row r="9" spans="1:21" ht="25.5" x14ac:dyDescent="0.35">
      <c r="A9" s="15">
        <v>3</v>
      </c>
      <c r="B9" s="153" t="s">
        <v>3</v>
      </c>
      <c r="C9" s="154">
        <f>'1 часть дотации'!C9</f>
        <v>1525</v>
      </c>
      <c r="D9" s="154">
        <v>0</v>
      </c>
      <c r="E9" s="155">
        <v>0</v>
      </c>
      <c r="F9" s="156">
        <f t="shared" si="0"/>
        <v>0</v>
      </c>
      <c r="G9" s="61">
        <f t="shared" si="1"/>
        <v>0.92744324548343038</v>
      </c>
      <c r="H9" s="157">
        <f>130+0</f>
        <v>130</v>
      </c>
      <c r="I9" s="157">
        <v>7713.92</v>
      </c>
      <c r="J9" s="157">
        <v>12626.44</v>
      </c>
      <c r="K9" s="61">
        <f t="shared" si="2"/>
        <v>0.97002973120594138</v>
      </c>
      <c r="L9" s="61">
        <f>параметры!$B$12*ИБР!G9+параметры!$B$13*ИБР!K9+1-параметры!$B$12-параметры!$B$13</f>
        <v>0.98120289069521849</v>
      </c>
      <c r="M9" s="155">
        <f t="shared" ref="M9:M16" si="7">$M$7</f>
        <v>0</v>
      </c>
      <c r="N9" s="61">
        <f t="shared" ref="N9:N16" si="8">M9+(1-M9)*(AVERAGE($C$7:$C$16))/C9</f>
        <v>1.9810491803278687</v>
      </c>
      <c r="O9" s="157">
        <v>43.43</v>
      </c>
      <c r="P9" s="61">
        <f t="shared" si="3"/>
        <v>0.93603905633012019</v>
      </c>
      <c r="Q9" s="61">
        <f t="shared" si="4"/>
        <v>0.91418283051411631</v>
      </c>
      <c r="R9" s="61">
        <v>24.4</v>
      </c>
      <c r="S9" s="61">
        <f t="shared" si="5"/>
        <v>1.3794977168949769</v>
      </c>
      <c r="T9" s="61">
        <f>параметры!$B$18*ИБР!N9+параметры!$B$19*ИБР!P9+параметры!$B$21*ИБР!Q9+параметры!$B$20*ИБР!S9</f>
        <v>1.0427179942297531</v>
      </c>
      <c r="U9" s="61">
        <f t="shared" si="6"/>
        <v>1.0191896617618454</v>
      </c>
    </row>
    <row r="10" spans="1:21" ht="25.5" x14ac:dyDescent="0.35">
      <c r="A10" s="15">
        <v>4</v>
      </c>
      <c r="B10" s="153" t="s">
        <v>4</v>
      </c>
      <c r="C10" s="154">
        <f>'1 часть дотации'!C10</f>
        <v>2434</v>
      </c>
      <c r="D10" s="154">
        <v>0</v>
      </c>
      <c r="E10" s="155">
        <v>0</v>
      </c>
      <c r="F10" s="156">
        <f t="shared" si="0"/>
        <v>0</v>
      </c>
      <c r="G10" s="61">
        <f t="shared" si="1"/>
        <v>0.92744324548343038</v>
      </c>
      <c r="H10" s="157">
        <f>139.18+187.27</f>
        <v>326.45000000000005</v>
      </c>
      <c r="I10" s="157">
        <v>6040.76</v>
      </c>
      <c r="J10" s="157">
        <v>12626.44</v>
      </c>
      <c r="K10" s="61">
        <f t="shared" si="2"/>
        <v>0.95081644338622362</v>
      </c>
      <c r="L10" s="61">
        <f>параметры!$B$12*ИБР!G10+параметры!$B$13*ИБР!K10+1-параметры!$B$12-параметры!$B$13</f>
        <v>0.98066471813251443</v>
      </c>
      <c r="M10" s="155">
        <f t="shared" si="7"/>
        <v>0</v>
      </c>
      <c r="N10" s="61">
        <f t="shared" si="8"/>
        <v>1.2412078882497946</v>
      </c>
      <c r="O10" s="157">
        <v>62.42</v>
      </c>
      <c r="P10" s="61">
        <f t="shared" si="3"/>
        <v>0.84290217573166981</v>
      </c>
      <c r="Q10" s="61">
        <f t="shared" si="4"/>
        <v>0.91418283051411631</v>
      </c>
      <c r="R10" s="61">
        <v>28.1</v>
      </c>
      <c r="S10" s="61">
        <f t="shared" si="5"/>
        <v>0.99537504736926996</v>
      </c>
      <c r="T10" s="61">
        <f>параметры!$B$18*ИБР!N10+параметры!$B$19*ИБР!P10+параметры!$B$21*ИБР!Q10+параметры!$B$20*ИБР!S10</f>
        <v>0.95220974337976638</v>
      </c>
      <c r="U10" s="61">
        <f t="shared" si="6"/>
        <v>0.93021319199229202</v>
      </c>
    </row>
    <row r="11" spans="1:21" ht="25.5" x14ac:dyDescent="0.35">
      <c r="A11" s="15">
        <v>5</v>
      </c>
      <c r="B11" s="153" t="s">
        <v>5</v>
      </c>
      <c r="C11" s="154">
        <f>'1 часть дотации'!C11</f>
        <v>4036</v>
      </c>
      <c r="D11" s="154">
        <v>878</v>
      </c>
      <c r="E11" s="155">
        <v>878</v>
      </c>
      <c r="F11" s="156">
        <f t="shared" si="0"/>
        <v>0.21754212091179387</v>
      </c>
      <c r="G11" s="61">
        <f t="shared" si="1"/>
        <v>0.97788273814537618</v>
      </c>
      <c r="H11" s="157">
        <f>172.91+288.5</f>
        <v>461.40999999999997</v>
      </c>
      <c r="I11" s="157">
        <v>6399.88</v>
      </c>
      <c r="J11" s="157">
        <v>12626.44</v>
      </c>
      <c r="K11" s="61">
        <f t="shared" si="2"/>
        <v>1.0800312147703968</v>
      </c>
      <c r="L11" s="61">
        <f>параметры!$B$12*ИБР!G11+параметры!$B$13*ИБР!K11+1-параметры!$B$12-параметры!$B$13</f>
        <v>0.99676773801177843</v>
      </c>
      <c r="M11" s="155">
        <f t="shared" si="7"/>
        <v>0</v>
      </c>
      <c r="N11" s="61">
        <f t="shared" si="8"/>
        <v>0.74853815659068379</v>
      </c>
      <c r="O11" s="157">
        <v>111.63</v>
      </c>
      <c r="P11" s="61">
        <f t="shared" si="3"/>
        <v>0.909083450326581</v>
      </c>
      <c r="Q11" s="61">
        <f t="shared" si="4"/>
        <v>1.1130561023653041</v>
      </c>
      <c r="R11" s="61">
        <v>60.5</v>
      </c>
      <c r="S11" s="61">
        <f t="shared" si="5"/>
        <v>1.2924246139764943</v>
      </c>
      <c r="T11" s="61">
        <f>параметры!$B$18*ИБР!N11+параметры!$B$19*ИБР!P11+параметры!$B$21*ИБР!Q11+параметры!$B$20*ИБР!S11</f>
        <v>1.073994642555149</v>
      </c>
      <c r="U11" s="61">
        <f t="shared" si="6"/>
        <v>1.0664129500851915</v>
      </c>
    </row>
    <row r="12" spans="1:21" ht="25.5" x14ac:dyDescent="0.35">
      <c r="A12" s="15">
        <v>6</v>
      </c>
      <c r="B12" s="153" t="s">
        <v>6</v>
      </c>
      <c r="C12" s="154">
        <f>'1 часть дотации'!C12</f>
        <v>2570</v>
      </c>
      <c r="D12" s="154">
        <v>2570</v>
      </c>
      <c r="E12" s="155">
        <v>134</v>
      </c>
      <c r="F12" s="156">
        <f>D12/C12</f>
        <v>1</v>
      </c>
      <c r="G12" s="61">
        <f t="shared" si="1"/>
        <v>1.1593040568542878</v>
      </c>
      <c r="H12" s="157">
        <f>139.4+0</f>
        <v>139.4</v>
      </c>
      <c r="I12" s="157">
        <v>10684.97</v>
      </c>
      <c r="J12" s="157">
        <v>12626.44</v>
      </c>
      <c r="K12" s="61">
        <f t="shared" si="2"/>
        <v>1.2571453934893759</v>
      </c>
      <c r="L12" s="61">
        <f>параметры!$B$12*ИБР!G12+параметры!$B$13*ИБР!K12+1-параметры!$B$12-параметры!$B$13</f>
        <v>1.046630140324279</v>
      </c>
      <c r="M12" s="155">
        <f t="shared" si="7"/>
        <v>0</v>
      </c>
      <c r="N12" s="61">
        <f t="shared" si="8"/>
        <v>1.1755252918287937</v>
      </c>
      <c r="O12" s="157">
        <v>70.239999999999995</v>
      </c>
      <c r="P12" s="61">
        <f t="shared" si="3"/>
        <v>0.89830819985698296</v>
      </c>
      <c r="Q12" s="61">
        <f t="shared" si="4"/>
        <v>0.96184839443975512</v>
      </c>
      <c r="R12" s="61">
        <v>34.700000000000003</v>
      </c>
      <c r="S12" s="61">
        <f t="shared" si="5"/>
        <v>1.1641189391112767</v>
      </c>
      <c r="T12" s="61">
        <f>параметры!$B$18*ИБР!N12+параметры!$B$19*ИБР!P12+параметры!$B$21*ИБР!Q12+параметры!$B$20*ИБР!S12</f>
        <v>0.98913748378745325</v>
      </c>
      <c r="U12" s="61">
        <f t="shared" si="6"/>
        <v>1.0312862314619637</v>
      </c>
    </row>
    <row r="13" spans="1:21" ht="25.5" x14ac:dyDescent="0.35">
      <c r="A13" s="15">
        <v>7</v>
      </c>
      <c r="B13" s="153" t="s">
        <v>7</v>
      </c>
      <c r="C13" s="154">
        <f>'1 часть дотации'!C13</f>
        <v>2414</v>
      </c>
      <c r="D13" s="154">
        <v>2414</v>
      </c>
      <c r="E13" s="155">
        <v>876</v>
      </c>
      <c r="F13" s="156">
        <f t="shared" si="0"/>
        <v>1</v>
      </c>
      <c r="G13" s="61">
        <f t="shared" si="1"/>
        <v>1.1593040568542878</v>
      </c>
      <c r="H13" s="157">
        <f>270.37+127.43</f>
        <v>397.8</v>
      </c>
      <c r="I13" s="157">
        <v>3841.21</v>
      </c>
      <c r="J13" s="157">
        <v>12626.44</v>
      </c>
      <c r="K13" s="61">
        <f t="shared" si="2"/>
        <v>0.79356094937921173</v>
      </c>
      <c r="L13" s="61">
        <f>параметры!$B$12*ИБР!G13+параметры!$B$13*ИБР!K13+1-параметры!$B$12-параметры!$B$13</f>
        <v>1.0336449380695925</v>
      </c>
      <c r="M13" s="155">
        <f t="shared" si="7"/>
        <v>0</v>
      </c>
      <c r="N13" s="61">
        <f t="shared" si="8"/>
        <v>1.2514913007456503</v>
      </c>
      <c r="O13" s="157">
        <v>66.81</v>
      </c>
      <c r="P13" s="61">
        <f t="shared" si="3"/>
        <v>0.90965809872945824</v>
      </c>
      <c r="Q13" s="61">
        <f t="shared" si="4"/>
        <v>1.2459244044703572</v>
      </c>
      <c r="R13" s="61">
        <v>25.6</v>
      </c>
      <c r="S13" s="61">
        <f t="shared" si="5"/>
        <v>0.9143315439237627</v>
      </c>
      <c r="T13" s="61">
        <f>параметры!$B$18*ИБР!N13+параметры!$B$19*ИБР!P13+параметры!$B$21*ИБР!Q13+параметры!$B$20*ИБР!S13</f>
        <v>1.2395102236957689</v>
      </c>
      <c r="U13" s="61">
        <f t="shared" si="6"/>
        <v>1.2762942654002836</v>
      </c>
    </row>
    <row r="14" spans="1:21" ht="25.5" x14ac:dyDescent="0.35">
      <c r="A14" s="15">
        <v>8</v>
      </c>
      <c r="B14" s="153" t="s">
        <v>8</v>
      </c>
      <c r="C14" s="154">
        <f>'1 часть дотации'!C14</f>
        <v>1227</v>
      </c>
      <c r="D14" s="154">
        <v>1227</v>
      </c>
      <c r="E14" s="155">
        <v>0</v>
      </c>
      <c r="F14" s="156">
        <f t="shared" si="0"/>
        <v>1</v>
      </c>
      <c r="G14" s="61">
        <f t="shared" si="1"/>
        <v>1.1593040568542878</v>
      </c>
      <c r="H14" s="157">
        <f>0</f>
        <v>0</v>
      </c>
      <c r="I14" s="157">
        <v>0</v>
      </c>
      <c r="J14" s="157">
        <v>12626.44</v>
      </c>
      <c r="K14" s="61">
        <f t="shared" si="2"/>
        <v>0.14999999999999997</v>
      </c>
      <c r="L14" s="61">
        <f>параметры!$B$12*ИБР!G14+параметры!$B$13*ИБР!K14+1-параметры!$B$12-параметры!$B$13</f>
        <v>1.0156185154898878</v>
      </c>
      <c r="M14" s="155">
        <f t="shared" si="7"/>
        <v>0</v>
      </c>
      <c r="N14" s="61">
        <f t="shared" si="8"/>
        <v>2.4621841890790543</v>
      </c>
      <c r="O14" s="157">
        <v>35.07</v>
      </c>
      <c r="P14" s="61">
        <f t="shared" si="3"/>
        <v>0.93943164966928971</v>
      </c>
      <c r="Q14" s="61">
        <f t="shared" si="4"/>
        <v>0.91418283051411631</v>
      </c>
      <c r="R14" s="61">
        <v>15.3</v>
      </c>
      <c r="S14" s="61">
        <f t="shared" si="5"/>
        <v>1.075097548313628</v>
      </c>
      <c r="T14" s="61">
        <f>параметры!$B$18*ИБР!N14+параметры!$B$19*ИБР!P14+параметры!$B$21*ИБР!Q14+параметры!$B$20*ИБР!S14</f>
        <v>1.0919868875788448</v>
      </c>
      <c r="U14" s="61">
        <f t="shared" si="6"/>
        <v>1.1047839484873561</v>
      </c>
    </row>
    <row r="15" spans="1:21" ht="25.5" x14ac:dyDescent="0.35">
      <c r="A15" s="15">
        <v>9</v>
      </c>
      <c r="B15" s="153" t="s">
        <v>9</v>
      </c>
      <c r="C15" s="154">
        <f>'1 часть дотации'!C15</f>
        <v>486</v>
      </c>
      <c r="D15" s="154">
        <v>486</v>
      </c>
      <c r="E15" s="155">
        <v>486</v>
      </c>
      <c r="F15" s="156">
        <f t="shared" si="0"/>
        <v>1</v>
      </c>
      <c r="G15" s="61">
        <f t="shared" si="1"/>
        <v>1.1593040568542878</v>
      </c>
      <c r="H15" s="157">
        <f>109.64+0</f>
        <v>109.64</v>
      </c>
      <c r="I15" s="157">
        <v>23460.3</v>
      </c>
      <c r="J15" s="157">
        <v>12626.44</v>
      </c>
      <c r="K15" s="61">
        <f t="shared" si="2"/>
        <v>2.4421621411670129</v>
      </c>
      <c r="L15" s="61">
        <f>параметры!$B$12*ИБР!G15+параметры!$B$13*ИБР!K15+1-параметры!$B$12-параметры!$B$13</f>
        <v>1.0798229757165914</v>
      </c>
      <c r="M15" s="155">
        <f t="shared" si="7"/>
        <v>0</v>
      </c>
      <c r="N15" s="61">
        <f t="shared" si="8"/>
        <v>6.2162551440329219</v>
      </c>
      <c r="O15" s="157">
        <v>15.24</v>
      </c>
      <c r="P15" s="61">
        <f t="shared" si="3"/>
        <v>1.0306772313314516</v>
      </c>
      <c r="Q15" s="61">
        <f t="shared" si="4"/>
        <v>1.8283656610282326</v>
      </c>
      <c r="R15" s="61">
        <v>7.6</v>
      </c>
      <c r="S15" s="61">
        <f t="shared" si="5"/>
        <v>1.3482745175413868</v>
      </c>
      <c r="T15" s="61">
        <f>параметры!$B$18*ИБР!N15+параметры!$B$19*ИБР!P15+параметры!$B$21*ИБР!Q15+параметры!$B$20*ИБР!S15</f>
        <v>2.312820407577064</v>
      </c>
      <c r="U15" s="61">
        <f t="shared" si="6"/>
        <v>2.4878477383157027</v>
      </c>
    </row>
    <row r="16" spans="1:21" ht="25.5" x14ac:dyDescent="0.35">
      <c r="A16" s="15">
        <v>10</v>
      </c>
      <c r="B16" s="153" t="s">
        <v>10</v>
      </c>
      <c r="C16" s="154">
        <f>'1 часть дотации'!C16</f>
        <v>1858</v>
      </c>
      <c r="D16" s="154">
        <v>1858</v>
      </c>
      <c r="E16" s="155">
        <v>441</v>
      </c>
      <c r="F16" s="156">
        <f t="shared" si="0"/>
        <v>1</v>
      </c>
      <c r="G16" s="61">
        <f t="shared" si="1"/>
        <v>1.1593040568542878</v>
      </c>
      <c r="H16" s="157">
        <f>84.62+0</f>
        <v>84.62</v>
      </c>
      <c r="I16" s="157">
        <v>7266.52</v>
      </c>
      <c r="J16" s="157">
        <v>12626.44</v>
      </c>
      <c r="K16" s="61">
        <f t="shared" si="2"/>
        <v>0.89574500471050955</v>
      </c>
      <c r="L16" s="61">
        <f>параметры!$B$12*ИБР!G16+параметры!$B$13*ИБР!K16+1-параметры!$B$12-параметры!$B$13</f>
        <v>1.0365071579791234</v>
      </c>
      <c r="M16" s="155">
        <f t="shared" si="7"/>
        <v>0</v>
      </c>
      <c r="N16" s="61">
        <f t="shared" si="8"/>
        <v>1.6259956942949407</v>
      </c>
      <c r="O16" s="157">
        <v>65.2</v>
      </c>
      <c r="P16" s="61">
        <f t="shared" si="3"/>
        <v>1.1533891734630546</v>
      </c>
      <c r="Q16" s="61">
        <f t="shared" si="4"/>
        <v>1.1311659458298997</v>
      </c>
      <c r="R16" s="61">
        <v>34.1</v>
      </c>
      <c r="S16" s="61">
        <f t="shared" si="5"/>
        <v>1.58237594678817</v>
      </c>
      <c r="T16" s="61">
        <f>параметры!$B$18*ИБР!N16+параметры!$B$19*ИБР!P16+параметры!$B$21*ИБР!Q16+параметры!$B$20*ИБР!S16</f>
        <v>1.194803372064281</v>
      </c>
      <c r="U16" s="61">
        <f t="shared" si="6"/>
        <v>1.2336673408686143</v>
      </c>
    </row>
    <row r="17" spans="1:21" ht="26.25" x14ac:dyDescent="0.4">
      <c r="A17" s="15"/>
      <c r="B17" s="158" t="s">
        <v>11</v>
      </c>
      <c r="C17" s="159">
        <f>C7+C8+C9+C10+C11+C12+C13+C14+C15+C16</f>
        <v>30211</v>
      </c>
      <c r="D17" s="159">
        <f>D7+D8+D9+D10+D11+D12+D13+D14+D15+D16</f>
        <v>9454</v>
      </c>
      <c r="E17" s="159">
        <f>E7+E8+E9+E10+E11+E12+E13+E14+E15+E16</f>
        <v>2836</v>
      </c>
      <c r="F17" s="160">
        <f>D17/C17</f>
        <v>0.31293237562477244</v>
      </c>
      <c r="G17" s="161">
        <f t="shared" si="1"/>
        <v>1</v>
      </c>
      <c r="H17" s="162">
        <f>(C7*H7+C8*H8+C9*H9+C10*H10+C11*H11+C12*H12+C13*H13+C14*H14+C15*H15+C16*H16)/C17</f>
        <v>283.19435106418194</v>
      </c>
      <c r="I17" s="162">
        <f>(C7*I7+C8*I8+C9*I9+C10*I10+C11*I11+C12*I12+C13*I13+C14*I14+C15*I15+C16*I16)/C17</f>
        <v>6885.3479262520277</v>
      </c>
      <c r="J17" s="162">
        <f>(C7*J7+C8*J8+C9*J9+C10*J10+C11*J11+C12*J12+C13*J13+C14*J14+C15*J15+C16*J16)/C17</f>
        <v>12626.44</v>
      </c>
      <c r="K17" s="161">
        <f>0.2*H17/$H$17+0.65*I17/$I$17+0.15*J17/$J$17</f>
        <v>1</v>
      </c>
      <c r="L17" s="61">
        <f>параметры!$B$12*ИБР!G17+параметры!$B$13*ИБР!K17+1-параметры!$B$12-параметры!$B$13</f>
        <v>1.0000000000000002</v>
      </c>
      <c r="M17" s="155"/>
      <c r="N17" s="61"/>
      <c r="O17" s="163">
        <f>O7+O8+O9+O10+O11+O12+O13+O14+O15+O16</f>
        <v>919.1600000000002</v>
      </c>
      <c r="P17" s="161">
        <f t="shared" si="3"/>
        <v>1</v>
      </c>
      <c r="Q17" s="161">
        <f t="shared" si="4"/>
        <v>1</v>
      </c>
      <c r="R17" s="161">
        <f>R7+R8+R9+R10+R11+R12+R13+R14+R15+R16</f>
        <v>350.40000000000009</v>
      </c>
      <c r="S17" s="161">
        <f t="shared" si="5"/>
        <v>1</v>
      </c>
      <c r="T17" s="161"/>
      <c r="U17" s="161"/>
    </row>
    <row r="18" spans="1:21" s="164" customFormat="1" x14ac:dyDescent="0.3">
      <c r="B18" s="165"/>
      <c r="D18" s="166"/>
    </row>
    <row r="19" spans="1:21" ht="24.95" customHeight="1" x14ac:dyDescent="0.3"/>
    <row r="20" spans="1:21" ht="24.95" customHeight="1" x14ac:dyDescent="0.3"/>
    <row r="21" spans="1:21" ht="24.95" customHeight="1" x14ac:dyDescent="0.3"/>
    <row r="22" spans="1:21" ht="24.95" customHeight="1" x14ac:dyDescent="0.3"/>
    <row r="23" spans="1:21" ht="24.95" customHeight="1" x14ac:dyDescent="0.3"/>
    <row r="24" spans="1:21" ht="24.95" customHeight="1" x14ac:dyDescent="0.3"/>
    <row r="25" spans="1:21" ht="24.95" customHeight="1" x14ac:dyDescent="0.3"/>
    <row r="26" spans="1:21" ht="24.95" customHeight="1" x14ac:dyDescent="0.3"/>
    <row r="27" spans="1:21" ht="24.95" customHeight="1" x14ac:dyDescent="0.3"/>
    <row r="28" spans="1:21" ht="24.95" customHeight="1" x14ac:dyDescent="0.3"/>
    <row r="29" spans="1:21" ht="24.95" customHeight="1" x14ac:dyDescent="0.3"/>
    <row r="30" spans="1:21" ht="24.95" customHeight="1" x14ac:dyDescent="0.3"/>
    <row r="31" spans="1:21" ht="24.95" customHeight="1" x14ac:dyDescent="0.3"/>
    <row r="32" spans="1:21" ht="24.95" customHeight="1" x14ac:dyDescent="0.3"/>
    <row r="33" ht="24.95" customHeight="1" x14ac:dyDescent="0.3"/>
    <row r="34" ht="24.95" customHeight="1" x14ac:dyDescent="0.3"/>
    <row r="35" ht="24.95" customHeight="1" x14ac:dyDescent="0.3"/>
    <row r="36" ht="24.95" customHeight="1" x14ac:dyDescent="0.3"/>
    <row r="37" ht="24.95" customHeight="1" x14ac:dyDescent="0.3"/>
    <row r="38" ht="24.95" customHeight="1" x14ac:dyDescent="0.3"/>
    <row r="39" ht="24.95" customHeight="1" x14ac:dyDescent="0.3"/>
    <row r="40" ht="24.95" customHeight="1" x14ac:dyDescent="0.3"/>
    <row r="41" ht="24.95" customHeight="1" x14ac:dyDescent="0.3"/>
    <row r="42" ht="24.95" customHeight="1" x14ac:dyDescent="0.3"/>
    <row r="43" ht="24.95" customHeight="1" x14ac:dyDescent="0.3"/>
    <row r="44" ht="24.95" customHeight="1" x14ac:dyDescent="0.3"/>
    <row r="45" ht="24.95" customHeight="1" x14ac:dyDescent="0.3"/>
    <row r="46" ht="24.95" customHeight="1" x14ac:dyDescent="0.3"/>
    <row r="47" ht="24.95" customHeight="1" x14ac:dyDescent="0.3"/>
    <row r="48" ht="24.95" customHeight="1" x14ac:dyDescent="0.3"/>
    <row r="49" ht="24.95" customHeight="1" x14ac:dyDescent="0.3"/>
    <row r="50" ht="24.95" customHeight="1" x14ac:dyDescent="0.3"/>
    <row r="51" ht="24.95" customHeight="1" x14ac:dyDescent="0.3"/>
    <row r="52" ht="24.95" customHeight="1" x14ac:dyDescent="0.3"/>
    <row r="53" ht="24.95" customHeight="1" x14ac:dyDescent="0.3"/>
    <row r="54" ht="24.95" customHeight="1" x14ac:dyDescent="0.3"/>
    <row r="55" ht="24.95" customHeight="1" x14ac:dyDescent="0.3"/>
    <row r="56" ht="24.95" customHeight="1" x14ac:dyDescent="0.3"/>
    <row r="57" ht="24.95" customHeight="1" x14ac:dyDescent="0.3"/>
    <row r="58" ht="24.95" customHeight="1" x14ac:dyDescent="0.3"/>
    <row r="59" ht="24.95" customHeight="1" x14ac:dyDescent="0.3"/>
    <row r="60" ht="24.95" customHeight="1" x14ac:dyDescent="0.3"/>
    <row r="61" ht="24.95" customHeight="1" x14ac:dyDescent="0.3"/>
    <row r="62" ht="24.95" customHeight="1" x14ac:dyDescent="0.3"/>
    <row r="63" ht="24.95" customHeight="1" x14ac:dyDescent="0.3"/>
    <row r="64" ht="24.95" customHeight="1" x14ac:dyDescent="0.3"/>
    <row r="65" ht="24.95" customHeight="1" x14ac:dyDescent="0.3"/>
    <row r="66" ht="24.95" customHeight="1" x14ac:dyDescent="0.3"/>
    <row r="67" ht="24.95" customHeight="1" x14ac:dyDescent="0.3"/>
    <row r="68" ht="24.95" customHeight="1" x14ac:dyDescent="0.3"/>
    <row r="69" ht="24.95" customHeight="1" x14ac:dyDescent="0.3"/>
    <row r="70" ht="24.95" customHeight="1" x14ac:dyDescent="0.3"/>
    <row r="71" ht="24.95" customHeight="1" x14ac:dyDescent="0.3"/>
    <row r="72" ht="24.95" customHeight="1" x14ac:dyDescent="0.3"/>
    <row r="73" ht="24.95" customHeight="1" x14ac:dyDescent="0.3"/>
    <row r="74" ht="24.95" customHeight="1" x14ac:dyDescent="0.3"/>
    <row r="75" ht="24.95" customHeight="1" x14ac:dyDescent="0.3"/>
    <row r="76" ht="24.95" customHeight="1" x14ac:dyDescent="0.3"/>
    <row r="77" ht="24.95" customHeight="1" x14ac:dyDescent="0.3"/>
    <row r="78" ht="24.95" customHeight="1" x14ac:dyDescent="0.3"/>
    <row r="79" ht="24.95" customHeight="1" x14ac:dyDescent="0.3"/>
    <row r="80" ht="24.95" customHeight="1" x14ac:dyDescent="0.3"/>
    <row r="81" ht="24.95" customHeight="1" x14ac:dyDescent="0.3"/>
    <row r="82" ht="24.95" customHeight="1" x14ac:dyDescent="0.3"/>
    <row r="83" ht="24.95" customHeight="1" x14ac:dyDescent="0.3"/>
    <row r="84" ht="24.95" customHeight="1" x14ac:dyDescent="0.3"/>
    <row r="85" ht="24.95" customHeight="1" x14ac:dyDescent="0.3"/>
    <row r="86" ht="24.95" customHeight="1" x14ac:dyDescent="0.3"/>
    <row r="87" ht="24.95" customHeight="1" x14ac:dyDescent="0.3"/>
    <row r="88" ht="24.95" customHeight="1" x14ac:dyDescent="0.3"/>
    <row r="89" ht="24.95" customHeight="1" x14ac:dyDescent="0.3"/>
    <row r="90" ht="24.95" customHeight="1" x14ac:dyDescent="0.3"/>
    <row r="91" ht="24.95" customHeight="1" x14ac:dyDescent="0.3"/>
    <row r="92" ht="24.95" customHeight="1" x14ac:dyDescent="0.3"/>
    <row r="93" ht="24.95" customHeight="1" x14ac:dyDescent="0.3"/>
    <row r="94" ht="24.95" customHeight="1" x14ac:dyDescent="0.3"/>
    <row r="95" ht="24.95" customHeight="1" x14ac:dyDescent="0.3"/>
    <row r="96" ht="24.95" customHeight="1" x14ac:dyDescent="0.3"/>
    <row r="97" ht="24.95" customHeight="1" x14ac:dyDescent="0.3"/>
    <row r="98" ht="24.95" customHeight="1" x14ac:dyDescent="0.3"/>
    <row r="99" ht="24.95" customHeight="1" x14ac:dyDescent="0.3"/>
    <row r="100" ht="24.95" customHeight="1" x14ac:dyDescent="0.3"/>
    <row r="101" ht="24.95" customHeight="1" x14ac:dyDescent="0.3"/>
    <row r="102" ht="24.95" customHeight="1" x14ac:dyDescent="0.3"/>
    <row r="103" ht="24.95" customHeight="1" x14ac:dyDescent="0.3"/>
    <row r="104" ht="24.95" customHeight="1" x14ac:dyDescent="0.3"/>
    <row r="105" ht="24.95" customHeight="1" x14ac:dyDescent="0.3"/>
    <row r="106" ht="24.95" customHeight="1" x14ac:dyDescent="0.3"/>
    <row r="107" ht="24.95" customHeight="1" x14ac:dyDescent="0.3"/>
    <row r="108" ht="24.95" customHeight="1" x14ac:dyDescent="0.3"/>
    <row r="109" ht="24.95" customHeight="1" x14ac:dyDescent="0.3"/>
    <row r="110" ht="24.95" customHeight="1" x14ac:dyDescent="0.3"/>
    <row r="111" ht="24.95" customHeight="1" x14ac:dyDescent="0.3"/>
    <row r="112" ht="24.95" customHeight="1" x14ac:dyDescent="0.3"/>
    <row r="113" ht="24.95" customHeight="1" x14ac:dyDescent="0.3"/>
    <row r="114" ht="24.95" customHeight="1" x14ac:dyDescent="0.3"/>
    <row r="115" ht="24.95" customHeight="1" x14ac:dyDescent="0.3"/>
    <row r="116" ht="24.95" customHeight="1" x14ac:dyDescent="0.3"/>
    <row r="117" ht="24.95" customHeight="1" x14ac:dyDescent="0.3"/>
    <row r="118" ht="24.95" customHeight="1" x14ac:dyDescent="0.3"/>
    <row r="119" ht="24.95" customHeight="1" x14ac:dyDescent="0.3"/>
    <row r="120" ht="24.95" customHeight="1" x14ac:dyDescent="0.3"/>
    <row r="121" ht="24.95" customHeight="1" x14ac:dyDescent="0.3"/>
    <row r="122" ht="24.95" customHeight="1" x14ac:dyDescent="0.3"/>
    <row r="123" ht="24.95" customHeight="1" x14ac:dyDescent="0.3"/>
    <row r="124" ht="24.95" customHeight="1" x14ac:dyDescent="0.3"/>
    <row r="125" ht="24.95" customHeight="1" x14ac:dyDescent="0.3"/>
    <row r="126" ht="24.95" customHeight="1" x14ac:dyDescent="0.3"/>
    <row r="127" ht="24.95" customHeight="1" x14ac:dyDescent="0.3"/>
    <row r="128" ht="24.95" customHeight="1" x14ac:dyDescent="0.3"/>
    <row r="129" ht="24.95" customHeight="1" x14ac:dyDescent="0.3"/>
    <row r="130" ht="24.95" customHeight="1" x14ac:dyDescent="0.3"/>
    <row r="131" ht="24.95" customHeight="1" x14ac:dyDescent="0.3"/>
    <row r="132" ht="24.95" customHeight="1" x14ac:dyDescent="0.3"/>
    <row r="133" ht="24.95" customHeight="1" x14ac:dyDescent="0.3"/>
    <row r="134" ht="24.95" customHeight="1" x14ac:dyDescent="0.3"/>
    <row r="135" ht="24.95" customHeight="1" x14ac:dyDescent="0.3"/>
    <row r="136" ht="24.95" customHeight="1" x14ac:dyDescent="0.3"/>
    <row r="137" ht="24.95" customHeight="1" x14ac:dyDescent="0.3"/>
    <row r="138" ht="24.95" customHeight="1" x14ac:dyDescent="0.3"/>
  </sheetData>
  <customSheetViews>
    <customSheetView guid="{CE336351-7BD3-4872-92F0-8965CF315520}" scale="80" showPageBreaks="1" topLeftCell="C1">
      <selection activeCell="T8" sqref="T8"/>
      <pageMargins left="0.19685039370078741" right="0.23622047244094491" top="0.98425196850393704" bottom="0.62992125984251968" header="0.51181102362204722" footer="0.31496062992125984"/>
      <pageSetup paperSize="9" scale="40" orientation="landscape" r:id="rId1"/>
      <headerFooter alignWithMargins="0"/>
    </customSheetView>
    <customSheetView guid="{302671BE-4EBD-4277-AB7D-2E6FD69B3D87}" scale="80" showPageBreaks="1" topLeftCell="C1">
      <selection activeCell="M8" sqref="M8"/>
      <pageMargins left="0.19685039370078741" right="0.23622047244094491" top="0.98425196850393704" bottom="0.62992125984251968" header="0.51181102362204722" footer="0.31496062992125984"/>
      <pageSetup paperSize="9" scale="40" orientation="landscape" r:id="rId2"/>
      <headerFooter alignWithMargins="0"/>
    </customSheetView>
  </customSheetViews>
  <mergeCells count="22">
    <mergeCell ref="A2:U3"/>
    <mergeCell ref="I5:I6"/>
    <mergeCell ref="T5:T6"/>
    <mergeCell ref="U5:U6"/>
    <mergeCell ref="L5:L6"/>
    <mergeCell ref="Q5:Q6"/>
    <mergeCell ref="O5:O6"/>
    <mergeCell ref="P5:P6"/>
    <mergeCell ref="J5:J6"/>
    <mergeCell ref="K5:K6"/>
    <mergeCell ref="M5:M6"/>
    <mergeCell ref="N5:N6"/>
    <mergeCell ref="C5:C6"/>
    <mergeCell ref="R5:R6"/>
    <mergeCell ref="E5:E6"/>
    <mergeCell ref="F5:F6"/>
    <mergeCell ref="S5:S6"/>
    <mergeCell ref="B5:B6"/>
    <mergeCell ref="A5:A6"/>
    <mergeCell ref="D5:D6"/>
    <mergeCell ref="G5:G6"/>
    <mergeCell ref="H5:H6"/>
  </mergeCells>
  <phoneticPr fontId="0" type="noConversion"/>
  <pageMargins left="0.19685039370078741" right="0.23622047244094491" top="0.98425196850393704" bottom="0.62992125984251968" header="0.51181102362204722" footer="0.31496062992125984"/>
  <pageSetup paperSize="9" scale="35" orientation="landscape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R25"/>
  <sheetViews>
    <sheetView zoomScale="73" zoomScaleNormal="70" workbookViewId="0">
      <selection activeCell="A24" sqref="A24:H25"/>
    </sheetView>
  </sheetViews>
  <sheetFormatPr defaultColWidth="9.140625" defaultRowHeight="12.75" x14ac:dyDescent="0.2"/>
  <cols>
    <col min="1" max="1" width="7.42578125" style="1" customWidth="1"/>
    <col min="2" max="2" width="38.140625" style="1" customWidth="1"/>
    <col min="3" max="3" width="27" style="1" customWidth="1"/>
    <col min="4" max="5" width="28.7109375" style="1" customWidth="1"/>
    <col min="6" max="6" width="33.140625" style="1" customWidth="1"/>
    <col min="7" max="7" width="37" style="1" customWidth="1"/>
    <col min="8" max="8" width="38.140625" style="1" customWidth="1"/>
    <col min="9" max="9" width="37" style="1" customWidth="1"/>
    <col min="10" max="10" width="9.140625" style="1"/>
    <col min="11" max="12" width="16.28515625" style="1" customWidth="1"/>
    <col min="13" max="13" width="22.42578125" style="1" customWidth="1"/>
    <col min="14" max="18" width="16.28515625" style="1" customWidth="1"/>
    <col min="19" max="19" width="16.28515625" style="22" customWidth="1"/>
    <col min="20" max="20" width="16.28515625" style="1" customWidth="1"/>
    <col min="21" max="21" width="16.28515625" style="22" customWidth="1"/>
    <col min="22" max="28" width="16.28515625" style="1" customWidth="1"/>
    <col min="29" max="35" width="16.28515625" style="1" hidden="1" customWidth="1"/>
    <col min="36" max="37" width="0" style="1" hidden="1" customWidth="1"/>
    <col min="38" max="16384" width="9.140625" style="1"/>
  </cols>
  <sheetData>
    <row r="2" spans="1:44" ht="31.5" customHeight="1" x14ac:dyDescent="0.2">
      <c r="A2" s="81" t="s">
        <v>62</v>
      </c>
      <c r="B2" s="81"/>
      <c r="C2" s="81"/>
      <c r="D2" s="81"/>
      <c r="E2" s="78"/>
      <c r="F2" s="78"/>
      <c r="G2" s="78"/>
      <c r="H2" s="78"/>
      <c r="I2" s="78"/>
    </row>
    <row r="3" spans="1:44" x14ac:dyDescent="0.2">
      <c r="A3" s="81"/>
      <c r="B3" s="81"/>
      <c r="C3" s="81"/>
      <c r="D3" s="81"/>
      <c r="E3" s="78"/>
      <c r="F3" s="78"/>
      <c r="G3" s="78"/>
      <c r="H3" s="78"/>
      <c r="I3" s="78"/>
    </row>
    <row r="4" spans="1:44" ht="18" x14ac:dyDescent="0.25">
      <c r="A4" s="2"/>
      <c r="B4" s="2"/>
      <c r="C4" s="2"/>
      <c r="D4" s="2"/>
      <c r="E4" s="2"/>
      <c r="F4" s="2"/>
      <c r="G4" s="2"/>
      <c r="H4" s="2"/>
      <c r="I4" s="2"/>
    </row>
    <row r="5" spans="1:44" ht="18" x14ac:dyDescent="0.25">
      <c r="A5" s="2"/>
      <c r="B5" s="2"/>
      <c r="C5" s="2"/>
      <c r="D5" s="2"/>
      <c r="E5" s="2"/>
      <c r="F5" s="2"/>
      <c r="G5" s="2"/>
      <c r="H5" s="2"/>
      <c r="I5" s="2"/>
    </row>
    <row r="6" spans="1:44" ht="18" x14ac:dyDescent="0.25">
      <c r="A6" s="2"/>
      <c r="B6" s="2"/>
      <c r="C6" s="2"/>
      <c r="D6" s="2"/>
      <c r="E6" s="2"/>
      <c r="F6" s="2"/>
      <c r="G6" s="2"/>
      <c r="H6" s="2"/>
      <c r="I6" s="2"/>
    </row>
    <row r="7" spans="1:44" s="3" customFormat="1" ht="132.75" customHeight="1" x14ac:dyDescent="0.25">
      <c r="A7" s="82" t="s">
        <v>0</v>
      </c>
      <c r="B7" s="82" t="s">
        <v>14</v>
      </c>
      <c r="C7" s="82" t="s">
        <v>61</v>
      </c>
      <c r="D7" s="84" t="s">
        <v>60</v>
      </c>
      <c r="E7" s="85" t="s">
        <v>28</v>
      </c>
      <c r="F7" s="85" t="s">
        <v>29</v>
      </c>
      <c r="G7" s="86" t="s">
        <v>41</v>
      </c>
      <c r="H7" s="85" t="s">
        <v>57</v>
      </c>
      <c r="I7" s="85" t="s">
        <v>58</v>
      </c>
      <c r="S7" s="24"/>
      <c r="U7" s="24"/>
    </row>
    <row r="8" spans="1:44" s="3" customFormat="1" ht="150" customHeight="1" x14ac:dyDescent="0.25">
      <c r="A8" s="83"/>
      <c r="B8" s="83"/>
      <c r="C8" s="83"/>
      <c r="D8" s="84"/>
      <c r="E8" s="85"/>
      <c r="F8" s="85"/>
      <c r="G8" s="86"/>
      <c r="H8" s="85"/>
      <c r="I8" s="85"/>
      <c r="J8" s="8"/>
      <c r="K8" s="36" t="s">
        <v>63</v>
      </c>
      <c r="L8" s="36" t="s">
        <v>59</v>
      </c>
      <c r="M8" s="48">
        <v>0.8</v>
      </c>
      <c r="N8" s="20" t="s">
        <v>54</v>
      </c>
      <c r="O8" s="49" t="s">
        <v>53</v>
      </c>
      <c r="P8" s="19" t="s">
        <v>54</v>
      </c>
      <c r="Q8" s="49" t="s">
        <v>52</v>
      </c>
      <c r="R8" s="18" t="s">
        <v>54</v>
      </c>
      <c r="S8" s="50">
        <v>0.5</v>
      </c>
      <c r="T8" s="21" t="s">
        <v>54</v>
      </c>
      <c r="U8" s="51">
        <v>0.4</v>
      </c>
      <c r="V8" s="21" t="s">
        <v>54</v>
      </c>
      <c r="W8" s="54">
        <v>0.3</v>
      </c>
      <c r="X8" s="21" t="s">
        <v>54</v>
      </c>
      <c r="Y8" s="23">
        <v>0.2</v>
      </c>
      <c r="Z8" s="21" t="s">
        <v>54</v>
      </c>
      <c r="AA8" s="23">
        <v>0.1</v>
      </c>
      <c r="AB8" s="21" t="s">
        <v>54</v>
      </c>
      <c r="AC8" s="23">
        <v>0.01</v>
      </c>
      <c r="AD8" s="21"/>
      <c r="AE8" s="39">
        <v>1E-3</v>
      </c>
      <c r="AF8" s="28"/>
      <c r="AG8" s="3">
        <v>0</v>
      </c>
      <c r="AI8" s="3" t="s">
        <v>55</v>
      </c>
      <c r="AK8" s="3">
        <v>0</v>
      </c>
    </row>
    <row r="9" spans="1:44" ht="25.5" x14ac:dyDescent="0.35">
      <c r="A9" s="15">
        <v>1</v>
      </c>
      <c r="B9" s="15" t="s">
        <v>1</v>
      </c>
      <c r="C9" s="55">
        <f>'1 часть дотации'!C7</f>
        <v>11143</v>
      </c>
      <c r="D9" s="59">
        <v>66081.740000000005</v>
      </c>
      <c r="E9" s="43">
        <f>($D$19+параметры!$B$9)/'2 часть дотации (реальные пок2)'!$D$19</f>
        <v>2.4077004584772994</v>
      </c>
      <c r="F9" s="43">
        <f>ИНП!N9/ИБР!U7</f>
        <v>1.5776894849570786</v>
      </c>
      <c r="G9" s="57">
        <f>($D$19/$C$19)*(E9-F9)*ИБР!U7*'2 часть дотации (реальные пок2)'!C9</f>
        <v>42108.354169271515</v>
      </c>
      <c r="H9" s="57">
        <f>параметры!$B$9*'2 часть дотации (реальные пок2)'!G9/SUM($G$9:$G$18)</f>
        <v>42108.354169271515</v>
      </c>
      <c r="I9" s="57">
        <f>'1 часть дотации'!D7+'2 часть дотации (реальные пок2)'!H9</f>
        <v>69041.985829924917</v>
      </c>
      <c r="K9" s="37">
        <v>49835.543382186741</v>
      </c>
      <c r="L9" s="37">
        <f>I9-K9</f>
        <v>19206.442447738176</v>
      </c>
      <c r="M9" s="44">
        <v>65148.858876485887</v>
      </c>
      <c r="N9" s="30">
        <f>M9-K9</f>
        <v>15313.315494299146</v>
      </c>
      <c r="O9" s="27">
        <v>63511.732426322953</v>
      </c>
      <c r="P9" s="26">
        <f>O9-K9</f>
        <v>13676.189044136212</v>
      </c>
      <c r="Q9" s="27">
        <v>61875.66901436897</v>
      </c>
      <c r="R9" s="26">
        <f>Q9-K9</f>
        <v>12040.125632182229</v>
      </c>
      <c r="S9" s="46">
        <v>60240.667605563358</v>
      </c>
      <c r="T9" s="26">
        <f t="shared" ref="T9:T19" si="0">S9-K9</f>
        <v>10405.124223376617</v>
      </c>
      <c r="U9" s="52">
        <v>58606.727166188743</v>
      </c>
      <c r="V9" s="30">
        <f t="shared" ref="V9:V19" si="1">U9-K9</f>
        <v>8771.1837840020016</v>
      </c>
      <c r="W9" s="29">
        <v>56973.846663868928</v>
      </c>
      <c r="X9" s="30">
        <f t="shared" ref="X9:X19" si="2">W9-K9</f>
        <v>7138.3032816821869</v>
      </c>
      <c r="Y9" s="29">
        <v>55342.025067566668</v>
      </c>
      <c r="Z9" s="30">
        <f t="shared" ref="Z9:Z18" si="3">Y9-K9</f>
        <v>5506.4816853799275</v>
      </c>
      <c r="AA9" s="29">
        <v>53711.261347581567</v>
      </c>
      <c r="AB9" s="30">
        <f t="shared" ref="AB9:AB18" si="4">AA9-K9</f>
        <v>3875.717965394826</v>
      </c>
      <c r="AC9" s="29"/>
      <c r="AD9" s="30">
        <f>AC9-K9</f>
        <v>-49835.543382186741</v>
      </c>
      <c r="AE9" s="27"/>
      <c r="AF9" s="26">
        <f>AE9-K9</f>
        <v>-49835.543382186741</v>
      </c>
      <c r="AG9" s="27">
        <v>42480.139350073354</v>
      </c>
      <c r="AH9" s="24">
        <f>AG9-K9</f>
        <v>-7355.4040321133871</v>
      </c>
      <c r="AI9" s="22">
        <v>48320.675745757108</v>
      </c>
      <c r="AJ9" s="22">
        <f>AI9-K9</f>
        <v>-1514.8676364296334</v>
      </c>
      <c r="AK9" s="22"/>
      <c r="AL9" s="22"/>
      <c r="AM9" s="22"/>
      <c r="AN9" s="22"/>
      <c r="AO9" s="22"/>
      <c r="AP9" s="22"/>
      <c r="AQ9" s="22"/>
      <c r="AR9" s="22"/>
    </row>
    <row r="10" spans="1:44" ht="25.5" x14ac:dyDescent="0.35">
      <c r="A10" s="15">
        <v>2</v>
      </c>
      <c r="B10" s="15" t="s">
        <v>2</v>
      </c>
      <c r="C10" s="55">
        <f>'1 часть дотации'!C8</f>
        <v>2518</v>
      </c>
      <c r="D10" s="59">
        <v>15107.65</v>
      </c>
      <c r="E10" s="43">
        <f>($D$19+параметры!$B$9)/'2 часть дотации (реальные пок2)'!$D$19</f>
        <v>2.4077004584772994</v>
      </c>
      <c r="F10" s="43">
        <f>ИНП!N10/ИБР!U8</f>
        <v>1.1002563978744924</v>
      </c>
      <c r="G10" s="57">
        <f>($D$19/$C$19)*(E10-F10)*ИБР!U8*'2 часть дотации (реальные пок2)'!C10</f>
        <v>17155.998583097331</v>
      </c>
      <c r="H10" s="57">
        <f>параметры!$B$9*'2 часть дотации (реальные пок2)'!G10/SUM($G$9:$G$18)</f>
        <v>17155.998583097331</v>
      </c>
      <c r="I10" s="57">
        <f>'1 часть дотации'!D8+'2 часть дотации (реальные пок2)'!H10</f>
        <v>23242.23070384805</v>
      </c>
      <c r="K10" s="37">
        <v>28783.999554122045</v>
      </c>
      <c r="L10" s="37">
        <f t="shared" ref="L10:L18" si="5">I10-K10</f>
        <v>-5541.7688502739948</v>
      </c>
      <c r="M10" s="44">
        <v>25814.696996673345</v>
      </c>
      <c r="N10" s="30">
        <f t="shared" ref="N10:N18" si="6">M10-K10</f>
        <v>-2969.3025574487001</v>
      </c>
      <c r="O10" s="27">
        <v>25860.141248047596</v>
      </c>
      <c r="P10" s="26">
        <f t="shared" ref="P10:P18" si="7">O10-K10</f>
        <v>-2923.8583060744495</v>
      </c>
      <c r="Q10" s="27">
        <v>25905.555991025856</v>
      </c>
      <c r="R10" s="26">
        <f>Q10-K10</f>
        <v>-2878.4435630961889</v>
      </c>
      <c r="S10" s="46">
        <v>25950.941254339898</v>
      </c>
      <c r="T10" s="26">
        <f t="shared" si="0"/>
        <v>-2833.0582997821475</v>
      </c>
      <c r="U10" s="52">
        <v>25996.297066684212</v>
      </c>
      <c r="V10" s="30">
        <f t="shared" si="1"/>
        <v>-2787.702487437833</v>
      </c>
      <c r="W10" s="29">
        <v>26041.623456716068</v>
      </c>
      <c r="X10" s="30">
        <f t="shared" si="2"/>
        <v>-2742.3760974059769</v>
      </c>
      <c r="Y10" s="29">
        <v>26086.920453055554</v>
      </c>
      <c r="Z10" s="30">
        <f t="shared" si="3"/>
        <v>-2697.0791010664907</v>
      </c>
      <c r="AA10" s="29">
        <v>26132.188084285659</v>
      </c>
      <c r="AB10" s="30">
        <f t="shared" si="4"/>
        <v>-2651.8114698363861</v>
      </c>
      <c r="AC10" s="29"/>
      <c r="AD10" s="30">
        <f t="shared" ref="AD10:AD18" si="8">AC10-K10</f>
        <v>-28783.999554122045</v>
      </c>
      <c r="AE10" s="27"/>
      <c r="AF10" s="26">
        <f t="shared" ref="AF10:AF18" si="9">AE10-K10</f>
        <v>-28783.999554122045</v>
      </c>
      <c r="AG10" s="27">
        <v>27788.598155525906</v>
      </c>
      <c r="AH10" s="24">
        <f t="shared" ref="AH10:AH18" si="10">AG10-K10</f>
        <v>-995.40139859613919</v>
      </c>
      <c r="AI10" s="22">
        <v>28067.288181231903</v>
      </c>
      <c r="AJ10" s="22">
        <f t="shared" ref="AJ10:AJ18" si="11">AI10-K10</f>
        <v>-716.71137289014223</v>
      </c>
      <c r="AK10" s="22"/>
      <c r="AL10" s="22"/>
      <c r="AM10" s="22"/>
      <c r="AN10" s="22"/>
      <c r="AO10" s="22"/>
      <c r="AP10" s="22"/>
      <c r="AQ10" s="22"/>
      <c r="AR10" s="22"/>
    </row>
    <row r="11" spans="1:44" ht="25.5" x14ac:dyDescent="0.35">
      <c r="A11" s="15">
        <v>3</v>
      </c>
      <c r="B11" s="15" t="s">
        <v>3</v>
      </c>
      <c r="C11" s="55">
        <f>'1 часть дотации'!C9</f>
        <v>1525</v>
      </c>
      <c r="D11" s="59">
        <v>6804.01</v>
      </c>
      <c r="E11" s="43">
        <f>($D$19+параметры!$B$9)/'2 часть дотации (реальные пок2)'!$D$19</f>
        <v>2.4077004584772994</v>
      </c>
      <c r="F11" s="43">
        <f>ИНП!N11/ИБР!U9</f>
        <v>0.7536964455076538</v>
      </c>
      <c r="G11" s="57">
        <f>($D$19/$C$19)*(E11-F11)*ИБР!U9*'2 часть дотации (реальные пок2)'!C11</f>
        <v>14273.770110448779</v>
      </c>
      <c r="H11" s="57">
        <f>параметры!$B$9*'2 часть дотации (реальные пок2)'!G11/SUM($G$9:$G$18)</f>
        <v>14273.770110448779</v>
      </c>
      <c r="I11" s="57">
        <f>'1 часть дотации'!D9+'2 часть дотации (реальные пок2)'!H11</f>
        <v>17959.832058083746</v>
      </c>
      <c r="K11" s="37">
        <v>16743.545312696348</v>
      </c>
      <c r="L11" s="37">
        <f t="shared" si="5"/>
        <v>1216.2867453873987</v>
      </c>
      <c r="M11" s="44">
        <v>15009.47368774723</v>
      </c>
      <c r="N11" s="30">
        <f t="shared" si="6"/>
        <v>-1734.0716249491179</v>
      </c>
      <c r="O11" s="27">
        <v>15328.555969911129</v>
      </c>
      <c r="P11" s="26">
        <f t="shared" si="7"/>
        <v>-1414.9893427852185</v>
      </c>
      <c r="Q11" s="27">
        <v>15647.431061813269</v>
      </c>
      <c r="R11" s="26">
        <f>Q11-K11</f>
        <v>-1096.1142508830781</v>
      </c>
      <c r="S11" s="46">
        <v>15966.099165190961</v>
      </c>
      <c r="T11" s="26">
        <f t="shared" si="0"/>
        <v>-777.44614750538676</v>
      </c>
      <c r="U11" s="52">
        <v>16284.560481519731</v>
      </c>
      <c r="V11" s="30">
        <f t="shared" si="1"/>
        <v>-458.98483117661635</v>
      </c>
      <c r="W11" s="29">
        <v>16602.815212013698</v>
      </c>
      <c r="X11" s="30">
        <f t="shared" si="2"/>
        <v>-140.73010068264921</v>
      </c>
      <c r="Y11" s="29">
        <v>16920.863557625991</v>
      </c>
      <c r="Z11" s="30">
        <f t="shared" si="3"/>
        <v>177.3182449296437</v>
      </c>
      <c r="AA11" s="29">
        <v>17238.705719049231</v>
      </c>
      <c r="AB11" s="30">
        <f t="shared" si="4"/>
        <v>495.160406352883</v>
      </c>
      <c r="AC11" s="29"/>
      <c r="AD11" s="30">
        <f t="shared" si="8"/>
        <v>-16743.545312696348</v>
      </c>
      <c r="AE11" s="27"/>
      <c r="AF11" s="26">
        <f t="shared" si="9"/>
        <v>-16743.545312696348</v>
      </c>
      <c r="AG11" s="27">
        <v>17851.683837127035</v>
      </c>
      <c r="AH11" s="24">
        <f t="shared" si="10"/>
        <v>1108.1385244306875</v>
      </c>
      <c r="AI11" s="22">
        <v>17311.340972439619</v>
      </c>
      <c r="AJ11" s="22">
        <f t="shared" si="11"/>
        <v>567.79565974327124</v>
      </c>
      <c r="AK11" s="22"/>
      <c r="AL11" s="22"/>
      <c r="AM11" s="22"/>
      <c r="AN11" s="22"/>
      <c r="AO11" s="22"/>
      <c r="AP11" s="22"/>
      <c r="AQ11" s="22"/>
      <c r="AR11" s="22"/>
    </row>
    <row r="12" spans="1:44" ht="25.5" x14ac:dyDescent="0.35">
      <c r="A12" s="15">
        <v>4</v>
      </c>
      <c r="B12" s="15" t="s">
        <v>4</v>
      </c>
      <c r="C12" s="55">
        <f>'1 часть дотации'!C10</f>
        <v>2434</v>
      </c>
      <c r="D12" s="59">
        <v>10756.28</v>
      </c>
      <c r="E12" s="43">
        <f>($D$19+параметры!$B$9)/'2 часть дотации (реальные пок2)'!$D$19</f>
        <v>2.4077004584772994</v>
      </c>
      <c r="F12" s="43">
        <f>ИНП!N12/ИБР!U10</f>
        <v>0.45466402238416737</v>
      </c>
      <c r="G12" s="57">
        <f>($D$19/$C$19)*(E12-F12)*ИБР!U10*'2 часть дотации (реальные пок2)'!C12</f>
        <v>24552.216176439462</v>
      </c>
      <c r="H12" s="57">
        <f>параметры!$B$9*'2 часть дотации (реальные пок2)'!G12/SUM($G$9:$G$18)</f>
        <v>24552.216176439462</v>
      </c>
      <c r="I12" s="57">
        <f>'1 часть дотации'!D10+'2 часть дотации (реальные пок2)'!H12</f>
        <v>30435.412753845041</v>
      </c>
      <c r="K12" s="37">
        <v>26466.729445592799</v>
      </c>
      <c r="L12" s="37">
        <f t="shared" si="5"/>
        <v>3968.6833082522426</v>
      </c>
      <c r="M12" s="44">
        <v>28322.517576778497</v>
      </c>
      <c r="N12" s="30">
        <f t="shared" si="6"/>
        <v>1855.7881311856981</v>
      </c>
      <c r="O12" s="27">
        <v>28400.735288965989</v>
      </c>
      <c r="P12" s="26">
        <f t="shared" si="7"/>
        <v>1934.0058433731901</v>
      </c>
      <c r="Q12" s="27">
        <v>28478.902211908306</v>
      </c>
      <c r="R12" s="26">
        <f>Q12-K12</f>
        <v>2012.172766315507</v>
      </c>
      <c r="S12" s="46">
        <v>28557.018395057959</v>
      </c>
      <c r="T12" s="26">
        <f t="shared" si="0"/>
        <v>2090.2889494651608</v>
      </c>
      <c r="U12" s="52">
        <v>28635.083887803357</v>
      </c>
      <c r="V12" s="30">
        <f t="shared" si="1"/>
        <v>2168.3544422105588</v>
      </c>
      <c r="W12" s="29">
        <v>28713.098739468787</v>
      </c>
      <c r="X12" s="30">
        <f t="shared" si="2"/>
        <v>2246.3692938759887</v>
      </c>
      <c r="Y12" s="29">
        <v>28791.06299931457</v>
      </c>
      <c r="Z12" s="30">
        <f t="shared" si="3"/>
        <v>2324.3335537217718</v>
      </c>
      <c r="AA12" s="29">
        <v>28868.976716537145</v>
      </c>
      <c r="AB12" s="30">
        <f t="shared" si="4"/>
        <v>2402.2472709443464</v>
      </c>
      <c r="AC12" s="29"/>
      <c r="AD12" s="30">
        <f t="shared" si="8"/>
        <v>-26466.729445592799</v>
      </c>
      <c r="AE12" s="27"/>
      <c r="AF12" s="26">
        <f t="shared" si="9"/>
        <v>-26466.729445592799</v>
      </c>
      <c r="AG12" s="27">
        <v>26290.561106708585</v>
      </c>
      <c r="AH12" s="24">
        <f t="shared" si="10"/>
        <v>-176.16833888421388</v>
      </c>
      <c r="AI12" s="22">
        <v>26562.266043529384</v>
      </c>
      <c r="AJ12" s="22">
        <f t="shared" si="11"/>
        <v>95.536597936585167</v>
      </c>
      <c r="AK12" s="22"/>
      <c r="AL12" s="22"/>
      <c r="AM12" s="22"/>
      <c r="AN12" s="22"/>
      <c r="AO12" s="22"/>
      <c r="AP12" s="22"/>
      <c r="AQ12" s="22"/>
      <c r="AR12" s="22"/>
    </row>
    <row r="13" spans="1:44" ht="25.5" x14ac:dyDescent="0.35">
      <c r="A13" s="15">
        <v>5</v>
      </c>
      <c r="B13" s="15" t="s">
        <v>5</v>
      </c>
      <c r="C13" s="55">
        <f>'1 часть дотации'!C11</f>
        <v>4036</v>
      </c>
      <c r="D13" s="59">
        <v>20493.25</v>
      </c>
      <c r="E13" s="43">
        <f>($D$19+параметры!$B$9)/'2 часть дотации (реальные пок2)'!$D$19</f>
        <v>2.4077004584772994</v>
      </c>
      <c r="F13" s="43">
        <f>ИНП!N13/ИБР!U11</f>
        <v>0.52761212994868278</v>
      </c>
      <c r="G13" s="57">
        <f>($D$19/$C$19)*(E13-F13)*ИБР!U11*'2 часть дотации (реальные пок2)'!C13</f>
        <v>44929.553924633139</v>
      </c>
      <c r="H13" s="57">
        <f>параметры!$B$9*'2 часть дотации (реальные пок2)'!G13/SUM($G$9:$G$18)</f>
        <v>44929.553924633139</v>
      </c>
      <c r="I13" s="57">
        <f>'1 часть дотации'!D11+'2 часть дотации (реальные пок2)'!H13</f>
        <v>54684.928364406733</v>
      </c>
      <c r="K13" s="37">
        <v>53137.19754416353</v>
      </c>
      <c r="L13" s="37">
        <f t="shared" si="5"/>
        <v>1547.7308202432032</v>
      </c>
      <c r="M13" s="44">
        <v>56839.172041934282</v>
      </c>
      <c r="N13" s="30">
        <f t="shared" si="6"/>
        <v>3701.9744977707524</v>
      </c>
      <c r="O13" s="27">
        <v>56550.200124770607</v>
      </c>
      <c r="P13" s="26">
        <f t="shared" si="7"/>
        <v>3413.0025806070771</v>
      </c>
      <c r="Q13" s="27">
        <v>56261.415846252246</v>
      </c>
      <c r="R13" s="26">
        <f t="shared" ref="R13:R18" si="12">Q13-K13</f>
        <v>3124.2183020887169</v>
      </c>
      <c r="S13" s="46">
        <v>55972.819023678858</v>
      </c>
      <c r="T13" s="26">
        <f t="shared" si="0"/>
        <v>2835.6214795153282</v>
      </c>
      <c r="U13" s="52">
        <v>55684.409474587315</v>
      </c>
      <c r="V13" s="30">
        <f t="shared" si="1"/>
        <v>2547.2119304237858</v>
      </c>
      <c r="W13" s="29">
        <v>55396.187016751181</v>
      </c>
      <c r="X13" s="30">
        <f t="shared" si="2"/>
        <v>2258.9894725876511</v>
      </c>
      <c r="Y13" s="29">
        <v>55108.151468180331</v>
      </c>
      <c r="Z13" s="30">
        <f t="shared" si="3"/>
        <v>1970.9539240168015</v>
      </c>
      <c r="AA13" s="29">
        <v>54820.302647120647</v>
      </c>
      <c r="AB13" s="30">
        <f t="shared" si="4"/>
        <v>1683.1051029571172</v>
      </c>
      <c r="AC13" s="29"/>
      <c r="AD13" s="30">
        <f t="shared" si="8"/>
        <v>-53137.19754416353</v>
      </c>
      <c r="AE13" s="27"/>
      <c r="AF13" s="26">
        <f t="shared" si="9"/>
        <v>-53137.19754416353</v>
      </c>
      <c r="AG13" s="27">
        <v>51392.337409523017</v>
      </c>
      <c r="AH13" s="24">
        <f t="shared" si="10"/>
        <v>-1744.8601346405121</v>
      </c>
      <c r="AI13" s="22">
        <v>52846.565668059971</v>
      </c>
      <c r="AJ13" s="22">
        <f t="shared" si="11"/>
        <v>-290.63187610355817</v>
      </c>
      <c r="AK13" s="22"/>
      <c r="AL13" s="22"/>
      <c r="AM13" s="22"/>
      <c r="AN13" s="22"/>
      <c r="AO13" s="22"/>
      <c r="AP13" s="22"/>
      <c r="AQ13" s="22"/>
      <c r="AR13" s="22"/>
    </row>
    <row r="14" spans="1:44" ht="25.5" x14ac:dyDescent="0.35">
      <c r="A14" s="15">
        <v>6</v>
      </c>
      <c r="B14" s="15" t="s">
        <v>6</v>
      </c>
      <c r="C14" s="55">
        <f>'1 часть дотации'!C12</f>
        <v>2570</v>
      </c>
      <c r="D14" s="59">
        <v>12052.04</v>
      </c>
      <c r="E14" s="43">
        <f>($D$19+параметры!$B$9)/'2 часть дотации (реальные пок2)'!$D$19</f>
        <v>2.4077004584772994</v>
      </c>
      <c r="F14" s="43">
        <f>ИНП!N14/ИБР!U12</f>
        <v>0.46265564460188469</v>
      </c>
      <c r="G14" s="57">
        <f>($D$19/$C$19)*(E14-F14)*ИБР!U12*'2 часть дотации (реальные пок2)'!C14</f>
        <v>28623.26954920456</v>
      </c>
      <c r="H14" s="57">
        <f>параметры!$B$9*'2 часть дотации (реальные пок2)'!G14/SUM($G$9:$G$18)</f>
        <v>28623.26954920456</v>
      </c>
      <c r="I14" s="57">
        <f>'1 часть дотации'!D12+'2 часть дотации (реальные пок2)'!H14</f>
        <v>34835.190339645131</v>
      </c>
      <c r="K14" s="37">
        <v>29067.646063111108</v>
      </c>
      <c r="L14" s="37">
        <f t="shared" si="5"/>
        <v>5767.5442765340231</v>
      </c>
      <c r="M14" s="44">
        <v>29379.768734083671</v>
      </c>
      <c r="N14" s="30">
        <f t="shared" si="6"/>
        <v>312.12267097256336</v>
      </c>
      <c r="O14" s="27">
        <v>29517.688532144966</v>
      </c>
      <c r="P14" s="26">
        <f t="shared" si="7"/>
        <v>450.04246903385865</v>
      </c>
      <c r="Q14" s="27">
        <v>29655.518774500219</v>
      </c>
      <c r="R14" s="26">
        <f t="shared" si="12"/>
        <v>587.87271138911092</v>
      </c>
      <c r="S14" s="46">
        <v>29793.259548348149</v>
      </c>
      <c r="T14" s="26">
        <f t="shared" si="0"/>
        <v>725.61348523704146</v>
      </c>
      <c r="U14" s="52">
        <v>29930.910940774367</v>
      </c>
      <c r="V14" s="30">
        <f t="shared" si="1"/>
        <v>863.26487766325954</v>
      </c>
      <c r="W14" s="29">
        <v>30068.473038751436</v>
      </c>
      <c r="X14" s="30">
        <f t="shared" si="2"/>
        <v>1000.8269756403279</v>
      </c>
      <c r="Y14" s="29">
        <v>30205.945929139125</v>
      </c>
      <c r="Z14" s="30">
        <f t="shared" si="3"/>
        <v>1138.2998660280173</v>
      </c>
      <c r="AA14" s="29">
        <v>30343.329698684611</v>
      </c>
      <c r="AB14" s="30">
        <f t="shared" si="4"/>
        <v>1275.6836355735031</v>
      </c>
      <c r="AC14" s="29"/>
      <c r="AD14" s="30">
        <f t="shared" si="8"/>
        <v>-29067.646063111108</v>
      </c>
      <c r="AE14" s="27"/>
      <c r="AF14" s="26">
        <f t="shared" si="9"/>
        <v>-29067.646063111108</v>
      </c>
      <c r="AG14" s="27">
        <v>28641.934986686178</v>
      </c>
      <c r="AH14" s="24">
        <f t="shared" si="10"/>
        <v>-425.71107642493007</v>
      </c>
      <c r="AI14" s="22">
        <v>28119.255399390873</v>
      </c>
      <c r="AJ14" s="22">
        <f t="shared" si="11"/>
        <v>-948.39066372023444</v>
      </c>
      <c r="AK14" s="22"/>
      <c r="AL14" s="22"/>
      <c r="AM14" s="22"/>
      <c r="AN14" s="22"/>
      <c r="AO14" s="22"/>
      <c r="AP14" s="22"/>
      <c r="AQ14" s="22"/>
      <c r="AR14" s="22"/>
    </row>
    <row r="15" spans="1:44" ht="25.5" x14ac:dyDescent="0.35">
      <c r="A15" s="15">
        <v>7</v>
      </c>
      <c r="B15" s="15" t="s">
        <v>7</v>
      </c>
      <c r="C15" s="55">
        <f>'1 часть дотации'!C13</f>
        <v>2414</v>
      </c>
      <c r="D15" s="59">
        <v>8578.7000000000007</v>
      </c>
      <c r="E15" s="43">
        <f>($D$19+параметры!$B$9)/'2 часть дотации (реальные пок2)'!$D$19</f>
        <v>2.4077004584772994</v>
      </c>
      <c r="F15" s="43">
        <f>ИНП!N15/ИБР!U13</f>
        <v>0.5971815221053941</v>
      </c>
      <c r="G15" s="57">
        <f>($D$19/$C$19)*(E15-F15)*ИБР!U13*'2 часть дотации (реальные пок2)'!C15</f>
        <v>30971.942241325847</v>
      </c>
      <c r="H15" s="57">
        <f>параметры!$B$9*'2 часть дотации (реальные пок2)'!G15/SUM($G$9:$G$18)</f>
        <v>30971.942241325847</v>
      </c>
      <c r="I15" s="57">
        <f>'1 часть дотации'!D13+'2 часть дотации (реальные пок2)'!H15</f>
        <v>36806.797022696868</v>
      </c>
      <c r="K15" s="37">
        <v>32388.606792617014</v>
      </c>
      <c r="L15" s="37">
        <f t="shared" si="5"/>
        <v>4418.1902300798538</v>
      </c>
      <c r="M15" s="44">
        <v>29421.012366956034</v>
      </c>
      <c r="N15" s="30">
        <f t="shared" si="6"/>
        <v>-2967.5944256609801</v>
      </c>
      <c r="O15" s="27">
        <v>29595.462275080703</v>
      </c>
      <c r="P15" s="26">
        <f t="shared" si="7"/>
        <v>-2793.1445175363115</v>
      </c>
      <c r="Q15" s="27">
        <v>29769.79890733846</v>
      </c>
      <c r="R15" s="26">
        <f t="shared" si="12"/>
        <v>-2618.8078852785547</v>
      </c>
      <c r="S15" s="46">
        <v>29944.022374023894</v>
      </c>
      <c r="T15" s="26">
        <f t="shared" si="0"/>
        <v>-2444.5844185931201</v>
      </c>
      <c r="U15" s="52">
        <v>30118.13278528853</v>
      </c>
      <c r="V15" s="30">
        <f t="shared" si="1"/>
        <v>-2270.4740073284847</v>
      </c>
      <c r="W15" s="29">
        <v>30292.130251140901</v>
      </c>
      <c r="X15" s="30">
        <f t="shared" si="2"/>
        <v>-2096.4765414761132</v>
      </c>
      <c r="Y15" s="29">
        <v>30466.014881446907</v>
      </c>
      <c r="Z15" s="30">
        <f t="shared" si="3"/>
        <v>-1922.5919111701078</v>
      </c>
      <c r="AA15" s="29">
        <v>30639.786785929973</v>
      </c>
      <c r="AB15" s="30">
        <f t="shared" si="4"/>
        <v>-1748.8200066870413</v>
      </c>
      <c r="AC15" s="29"/>
      <c r="AD15" s="30">
        <f t="shared" si="8"/>
        <v>-32388.606792617014</v>
      </c>
      <c r="AE15" s="27"/>
      <c r="AF15" s="26">
        <f t="shared" si="9"/>
        <v>-32388.606792617014</v>
      </c>
      <c r="AG15" s="27">
        <v>32952.898988926136</v>
      </c>
      <c r="AH15" s="24">
        <f t="shared" si="10"/>
        <v>564.29219630912121</v>
      </c>
      <c r="AI15" s="22">
        <v>33353.569494140465</v>
      </c>
      <c r="AJ15" s="22">
        <f t="shared" si="11"/>
        <v>964.96270152345096</v>
      </c>
      <c r="AK15" s="22"/>
      <c r="AL15" s="22"/>
      <c r="AM15" s="22"/>
      <c r="AN15" s="22"/>
      <c r="AO15" s="22"/>
      <c r="AP15" s="22"/>
      <c r="AQ15" s="22"/>
      <c r="AR15" s="22"/>
    </row>
    <row r="16" spans="1:44" ht="25.5" x14ac:dyDescent="0.35">
      <c r="A16" s="15">
        <v>8</v>
      </c>
      <c r="B16" s="15" t="s">
        <v>8</v>
      </c>
      <c r="C16" s="55">
        <f>'1 часть дотации'!C14</f>
        <v>1227</v>
      </c>
      <c r="D16" s="59">
        <v>8004.47</v>
      </c>
      <c r="E16" s="43">
        <f>($D$19+параметры!$B$9)/'2 часть дотации (реальные пок2)'!$D$19</f>
        <v>2.4077004584772994</v>
      </c>
      <c r="F16" s="43">
        <f>ИНП!N16/ИБР!U14</f>
        <v>0.29155261866333937</v>
      </c>
      <c r="G16" s="57">
        <f>($D$19/$C$19)*(E16-F16)*ИБР!U14*'2 часть дотации (реальные пок2)'!C16</f>
        <v>15927.411821600717</v>
      </c>
      <c r="H16" s="57">
        <f>параметры!$B$9*'2 часть дотации (реальные пок2)'!G16/SUM($G$9:$G$18)</f>
        <v>15927.411821600717</v>
      </c>
      <c r="I16" s="57">
        <f>'1 часть дотации'!D14+'2 часть дотации (реальные пок2)'!H16</f>
        <v>18893.181008320786</v>
      </c>
      <c r="K16" s="37">
        <v>18222.117324925173</v>
      </c>
      <c r="L16" s="37">
        <f t="shared" si="5"/>
        <v>671.06368339561232</v>
      </c>
      <c r="M16" s="44">
        <v>11885.238044060312</v>
      </c>
      <c r="N16" s="30">
        <f t="shared" si="6"/>
        <v>-6336.8792808648614</v>
      </c>
      <c r="O16" s="27">
        <v>12294.713793146071</v>
      </c>
      <c r="P16" s="26">
        <f t="shared" si="7"/>
        <v>-5927.4035317791022</v>
      </c>
      <c r="Q16" s="27">
        <v>12703.923656620555</v>
      </c>
      <c r="R16" s="26">
        <f t="shared" si="12"/>
        <v>-5518.1936683046188</v>
      </c>
      <c r="S16" s="46">
        <v>13112.867893371662</v>
      </c>
      <c r="T16" s="26">
        <f t="shared" si="0"/>
        <v>-5109.2494315535114</v>
      </c>
      <c r="U16" s="52">
        <v>13521.546761951322</v>
      </c>
      <c r="V16" s="30">
        <f t="shared" si="1"/>
        <v>-4700.5705629738513</v>
      </c>
      <c r="W16" s="29">
        <v>13929.960520576002</v>
      </c>
      <c r="X16" s="30">
        <f t="shared" si="2"/>
        <v>-4292.1568043491716</v>
      </c>
      <c r="Y16" s="29">
        <v>14338.109427127278</v>
      </c>
      <c r="Z16" s="30">
        <f t="shared" si="3"/>
        <v>-3884.0078977978956</v>
      </c>
      <c r="AA16" s="29">
        <v>14745.993739152364</v>
      </c>
      <c r="AB16" s="30">
        <f t="shared" si="4"/>
        <v>-3476.1235857728097</v>
      </c>
      <c r="AC16" s="29"/>
      <c r="AD16" s="30">
        <f t="shared" si="8"/>
        <v>-18222.117324925173</v>
      </c>
      <c r="AE16" s="27"/>
      <c r="AF16" s="26">
        <f t="shared" si="9"/>
        <v>-18222.117324925173</v>
      </c>
      <c r="AG16" s="27">
        <v>18960.409384040482</v>
      </c>
      <c r="AH16" s="24">
        <f t="shared" si="10"/>
        <v>738.2920591153088</v>
      </c>
      <c r="AI16" s="22">
        <v>18063.693742905649</v>
      </c>
      <c r="AJ16" s="22">
        <f t="shared" si="11"/>
        <v>-158.42358201952447</v>
      </c>
      <c r="AK16" s="22"/>
      <c r="AL16" s="22"/>
      <c r="AM16" s="22"/>
      <c r="AN16" s="22"/>
      <c r="AO16" s="22"/>
      <c r="AP16" s="22"/>
      <c r="AQ16" s="22"/>
      <c r="AR16" s="22"/>
    </row>
    <row r="17" spans="1:44" ht="25.5" x14ac:dyDescent="0.35">
      <c r="A17" s="15">
        <v>9</v>
      </c>
      <c r="B17" s="15" t="s">
        <v>9</v>
      </c>
      <c r="C17" s="55">
        <f>'1 часть дотации'!C15</f>
        <v>486</v>
      </c>
      <c r="D17" s="59">
        <v>2218.58</v>
      </c>
      <c r="E17" s="43">
        <f>($D$19+параметры!$B$9)/'2 часть дотации (реальные пок2)'!$D$19</f>
        <v>2.4077004584772994</v>
      </c>
      <c r="F17" s="43">
        <f>ИНП!N17/ИБР!U15</f>
        <v>0.22583762592022832</v>
      </c>
      <c r="G17" s="57">
        <f>($D$19/$C$19)*(E17-F17)*ИБР!U15*'2 часть дотации (реальные пок2)'!C17</f>
        <v>14647.543489749512</v>
      </c>
      <c r="H17" s="57">
        <f>параметры!$B$9*'2 часть дотации (реальные пок2)'!G17/SUM($G$9:$G$18)</f>
        <v>14647.543489749512</v>
      </c>
      <c r="I17" s="57">
        <f>'1 часть дотации'!D15+'2 часть дотации (реальные пок2)'!H17</f>
        <v>15822.249133389247</v>
      </c>
      <c r="K17" s="37">
        <v>12240.582424567943</v>
      </c>
      <c r="L17" s="37">
        <f t="shared" si="5"/>
        <v>3581.6667088213035</v>
      </c>
      <c r="M17" s="44">
        <v>7724.8087643035669</v>
      </c>
      <c r="N17" s="30">
        <f t="shared" si="6"/>
        <v>-4515.7736602643763</v>
      </c>
      <c r="O17" s="27">
        <v>8266.5704577555844</v>
      </c>
      <c r="P17" s="26">
        <f t="shared" si="7"/>
        <v>-3974.0119668123589</v>
      </c>
      <c r="Q17" s="27">
        <v>8807.9803681304584</v>
      </c>
      <c r="R17" s="26">
        <f t="shared" si="12"/>
        <v>-3432.6020564374849</v>
      </c>
      <c r="S17" s="46">
        <v>9349.0388379528667</v>
      </c>
      <c r="T17" s="26">
        <f t="shared" si="0"/>
        <v>-2891.5435866150765</v>
      </c>
      <c r="U17" s="52">
        <v>9889.7462093029535</v>
      </c>
      <c r="V17" s="30">
        <f t="shared" si="1"/>
        <v>-2350.8362152649897</v>
      </c>
      <c r="W17" s="29">
        <v>10430.102823817064</v>
      </c>
      <c r="X17" s="30">
        <f t="shared" si="2"/>
        <v>-1810.4796007508794</v>
      </c>
      <c r="Y17" s="29">
        <v>10970.109022688435</v>
      </c>
      <c r="Z17" s="30">
        <f t="shared" si="3"/>
        <v>-1270.4734018795079</v>
      </c>
      <c r="AA17" s="29">
        <v>11509.765146667918</v>
      </c>
      <c r="AB17" s="30">
        <f t="shared" si="4"/>
        <v>-730.81727790002515</v>
      </c>
      <c r="AC17" s="29"/>
      <c r="AD17" s="30">
        <f t="shared" si="8"/>
        <v>-12240.582424567943</v>
      </c>
      <c r="AE17" s="27"/>
      <c r="AF17" s="26">
        <f t="shared" si="9"/>
        <v>-12240.582424567943</v>
      </c>
      <c r="AG17" s="27">
        <v>14479.263315222381</v>
      </c>
      <c r="AH17" s="24">
        <f t="shared" si="10"/>
        <v>2238.6808906544375</v>
      </c>
      <c r="AI17" s="22">
        <v>12978.315966745931</v>
      </c>
      <c r="AJ17" s="22">
        <f t="shared" si="11"/>
        <v>737.73354217798806</v>
      </c>
      <c r="AK17" s="22"/>
      <c r="AL17" s="22"/>
      <c r="AM17" s="22"/>
      <c r="AN17" s="22"/>
      <c r="AO17" s="22"/>
      <c r="AP17" s="22"/>
      <c r="AQ17" s="22"/>
      <c r="AR17" s="22"/>
    </row>
    <row r="18" spans="1:44" ht="25.5" x14ac:dyDescent="0.35">
      <c r="A18" s="15">
        <v>10</v>
      </c>
      <c r="B18" s="15" t="s">
        <v>10</v>
      </c>
      <c r="C18" s="55">
        <f>'1 часть дотации'!C16</f>
        <v>1858</v>
      </c>
      <c r="D18" s="59">
        <v>17645.5</v>
      </c>
      <c r="E18" s="43">
        <f>($D$19+параметры!$B$9)/'2 часть дотации (реальные пок2)'!$D$19</f>
        <v>2.4077004584772994</v>
      </c>
      <c r="F18" s="43">
        <f>ИНП!N18/ИБР!U16</f>
        <v>2.1766347192158801</v>
      </c>
      <c r="G18" s="57">
        <f>($D$19/$C$19)*(E18-F18)*ИБР!U16*'2 часть дотации (реальные пок2)'!C18</f>
        <v>2940.7399342291083</v>
      </c>
      <c r="H18" s="57">
        <f>параметры!$B$9*'2 часть дотации (реальные пок2)'!G18/SUM($G$9:$G$18)</f>
        <v>2940.7399342291078</v>
      </c>
      <c r="I18" s="57">
        <f>'1 часть дотации'!D16+'2 часть дотации (реальные пок2)'!H18</f>
        <v>7431.6927858394483</v>
      </c>
      <c r="K18" s="37">
        <v>13472.232156017324</v>
      </c>
      <c r="L18" s="37">
        <f t="shared" si="5"/>
        <v>-6040.5393701778758</v>
      </c>
      <c r="M18" s="44">
        <v>19285.752910977186</v>
      </c>
      <c r="N18" s="30">
        <f t="shared" si="6"/>
        <v>5813.5207549598617</v>
      </c>
      <c r="O18" s="27">
        <v>19505.499883854442</v>
      </c>
      <c r="P18" s="26">
        <f t="shared" si="7"/>
        <v>6033.2677278371175</v>
      </c>
      <c r="Q18" s="27">
        <v>19725.104168041751</v>
      </c>
      <c r="R18" s="26">
        <f t="shared" si="12"/>
        <v>6252.872012024427</v>
      </c>
      <c r="S18" s="46">
        <v>19944.565902472415</v>
      </c>
      <c r="T18" s="26">
        <f t="shared" si="0"/>
        <v>6472.3337464550914</v>
      </c>
      <c r="U18" s="52">
        <v>20163.885225899488</v>
      </c>
      <c r="V18" s="30">
        <f t="shared" si="1"/>
        <v>6691.6530698821643</v>
      </c>
      <c r="W18" s="29">
        <v>20383.062276895984</v>
      </c>
      <c r="X18" s="30">
        <f t="shared" si="2"/>
        <v>6910.8301208786597</v>
      </c>
      <c r="Y18" s="29">
        <v>20602.097193855185</v>
      </c>
      <c r="Z18" s="30">
        <f t="shared" si="3"/>
        <v>7129.8650378378607</v>
      </c>
      <c r="AA18" s="29">
        <v>20820.990114990938</v>
      </c>
      <c r="AB18" s="30">
        <f t="shared" si="4"/>
        <v>7348.7579589736142</v>
      </c>
      <c r="AC18" s="29"/>
      <c r="AD18" s="30">
        <f t="shared" si="8"/>
        <v>-13472.232156017324</v>
      </c>
      <c r="AE18" s="27"/>
      <c r="AF18" s="26">
        <f t="shared" si="9"/>
        <v>-13472.232156017324</v>
      </c>
      <c r="AG18" s="27">
        <v>10644.673466166987</v>
      </c>
      <c r="AH18" s="24">
        <f t="shared" si="10"/>
        <v>-2827.558689850337</v>
      </c>
      <c r="AI18" s="22">
        <v>10092.228785799118</v>
      </c>
      <c r="AJ18" s="22">
        <f t="shared" si="11"/>
        <v>-3380.0033702182063</v>
      </c>
      <c r="AK18" s="22"/>
      <c r="AL18" s="22"/>
      <c r="AM18" s="22"/>
      <c r="AN18" s="22"/>
      <c r="AO18" s="22"/>
      <c r="AP18" s="22"/>
      <c r="AQ18" s="22"/>
      <c r="AR18" s="22"/>
    </row>
    <row r="19" spans="1:44" s="7" customFormat="1" ht="26.25" x14ac:dyDescent="0.4">
      <c r="A19" s="16"/>
      <c r="B19" s="16" t="s">
        <v>11</v>
      </c>
      <c r="C19" s="56">
        <f>C9+C10+C11+C12+C13+C14+C15+C16+C17+C18</f>
        <v>30211</v>
      </c>
      <c r="D19" s="60">
        <f>D9+D10+D11+D12+D13+D14+D15+D16+D17+D18</f>
        <v>167742.22</v>
      </c>
      <c r="E19" s="42">
        <f>($D$19+[1]параметры!$B$6)/'[1]2 часть дотации'!$D$19</f>
        <v>2.5853366135864055</v>
      </c>
      <c r="F19" s="42"/>
      <c r="G19" s="58">
        <f>G9+G10+G11+G12+G13+G14+G15+G16+G17+G18</f>
        <v>236130.8</v>
      </c>
      <c r="H19" s="58">
        <f>H9+H10+H11+H12+H13+H14+H15+H16+H17+H18</f>
        <v>236130.8</v>
      </c>
      <c r="I19" s="58">
        <f>SUM(I9:I18)</f>
        <v>309153.5</v>
      </c>
      <c r="K19" s="38">
        <f>SUM(K9:K18)</f>
        <v>280358.2</v>
      </c>
      <c r="L19" s="38">
        <f>SUM(L9:L18)</f>
        <v>28795.299999999945</v>
      </c>
      <c r="M19" s="45">
        <f>M9+M10+M11+M12+M13+M14+M15+M16+M17+M18</f>
        <v>288831.3</v>
      </c>
      <c r="N19" s="33">
        <f>N9+N10+N12+N11+N13+N14+N15+N16+N17+N18</f>
        <v>8473.0999999999876</v>
      </c>
      <c r="O19" s="34">
        <f>O9+O10+O11+O12+O13+O14+O15+O16+O17+O18</f>
        <v>288831.30000000005</v>
      </c>
      <c r="P19" s="31">
        <f>P9+P10+P12+P11+P13+P14+P15+P16+P17+P18</f>
        <v>8473.1000000000149</v>
      </c>
      <c r="Q19" s="34">
        <f>SUM(Q9:Q18)</f>
        <v>288831.30000000005</v>
      </c>
      <c r="R19" s="31">
        <f>Q19-K19</f>
        <v>8473.1000000000349</v>
      </c>
      <c r="S19" s="47">
        <f>S9+S10+S11+S12+S13+S14+S15+S16+S17+S18</f>
        <v>288831.30000000005</v>
      </c>
      <c r="T19" s="31">
        <f t="shared" si="0"/>
        <v>8473.1000000000349</v>
      </c>
      <c r="U19" s="53">
        <f>U9+U10+U11+U12+U13+U14+U15+U16+U17+U18</f>
        <v>288831.30000000005</v>
      </c>
      <c r="V19" s="33">
        <f t="shared" si="1"/>
        <v>8473.1000000000349</v>
      </c>
      <c r="W19" s="32">
        <f>W9+W10+W11+W12+W13+W14+W15+W16+W17+W18</f>
        <v>288831.3</v>
      </c>
      <c r="X19" s="33">
        <f t="shared" si="2"/>
        <v>8473.0999999999767</v>
      </c>
      <c r="Y19" s="32">
        <f>Y9+Y10+Y11+Y12+Y13+Y14+Y15+Y16+Y17+Y18</f>
        <v>288831.30000000005</v>
      </c>
      <c r="Z19" s="33">
        <f>Z9+Z10+Z11+Z12+Z13+Z14+Z15+Z16+Z17+Z18</f>
        <v>8473.1000000000204</v>
      </c>
      <c r="AA19" s="32">
        <f t="shared" ref="AA19:AI19" si="13">SUM(AA9:AA18)</f>
        <v>288831.30000000005</v>
      </c>
      <c r="AB19" s="32">
        <f t="shared" si="13"/>
        <v>8473.1000000000276</v>
      </c>
      <c r="AC19" s="32">
        <f t="shared" si="13"/>
        <v>0</v>
      </c>
      <c r="AD19" s="32">
        <f t="shared" si="13"/>
        <v>-280358.2</v>
      </c>
      <c r="AE19" s="32">
        <f t="shared" si="13"/>
        <v>0</v>
      </c>
      <c r="AF19" s="33">
        <f t="shared" si="13"/>
        <v>-280358.2</v>
      </c>
      <c r="AG19" s="27">
        <f t="shared" si="13"/>
        <v>271482.50000000006</v>
      </c>
      <c r="AH19" s="35">
        <f t="shared" si="13"/>
        <v>-8875.6999999999643</v>
      </c>
      <c r="AI19" s="25">
        <f t="shared" si="13"/>
        <v>275715.20000000001</v>
      </c>
      <c r="AJ19" s="25"/>
      <c r="AK19" s="25"/>
      <c r="AL19" s="25"/>
      <c r="AM19" s="25"/>
      <c r="AN19" s="25"/>
      <c r="AO19" s="25"/>
      <c r="AP19" s="25"/>
      <c r="AQ19" s="25"/>
      <c r="AR19" s="25"/>
    </row>
    <row r="20" spans="1:44" x14ac:dyDescent="0.2">
      <c r="A20" s="12"/>
      <c r="B20" s="12"/>
      <c r="C20" s="12"/>
      <c r="D20" s="17"/>
      <c r="E20" s="12"/>
      <c r="F20" s="12"/>
      <c r="G20" s="12"/>
      <c r="H20" s="12"/>
      <c r="I20" s="12"/>
    </row>
    <row r="23" spans="1:44" x14ac:dyDescent="0.2">
      <c r="L23" s="22">
        <f>L10+L11+L15+L16+L17</f>
        <v>4345.4385174101735</v>
      </c>
    </row>
    <row r="24" spans="1:44" ht="15" customHeight="1" x14ac:dyDescent="0.2">
      <c r="A24" s="79" t="s">
        <v>31</v>
      </c>
      <c r="B24" s="80"/>
      <c r="C24" s="80"/>
      <c r="D24" s="80"/>
      <c r="E24" s="80"/>
      <c r="F24" s="80"/>
      <c r="G24" s="80"/>
      <c r="H24" s="80"/>
    </row>
    <row r="25" spans="1:44" ht="39.75" customHeight="1" x14ac:dyDescent="0.2">
      <c r="A25" s="80"/>
      <c r="B25" s="80"/>
      <c r="C25" s="80"/>
      <c r="D25" s="80"/>
      <c r="E25" s="80"/>
      <c r="F25" s="80"/>
      <c r="G25" s="80"/>
      <c r="H25" s="80"/>
    </row>
  </sheetData>
  <mergeCells count="11">
    <mergeCell ref="A24:H25"/>
    <mergeCell ref="A2:I3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45" right="0.27" top="0.74803149606299213" bottom="0.74803149606299213" header="0.31496062992125984" footer="0.31496062992125984"/>
  <pageSetup paperSize="9" scale="2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T25"/>
  <sheetViews>
    <sheetView tabSelected="1" topLeftCell="A2" zoomScale="73" zoomScaleNormal="70" workbookViewId="0">
      <selection activeCell="F30" sqref="F30"/>
    </sheetView>
  </sheetViews>
  <sheetFormatPr defaultColWidth="9.140625" defaultRowHeight="12.75" x14ac:dyDescent="0.2"/>
  <cols>
    <col min="1" max="1" width="7.42578125" style="12" customWidth="1"/>
    <col min="2" max="2" width="43.42578125" style="12" customWidth="1"/>
    <col min="3" max="3" width="23.7109375" style="12" customWidth="1"/>
    <col min="4" max="5" width="28.7109375" style="12" customWidth="1"/>
    <col min="6" max="6" width="27.85546875" style="12" customWidth="1"/>
    <col min="7" max="7" width="25.5703125" style="12" customWidth="1"/>
    <col min="8" max="8" width="37" style="12" customWidth="1"/>
    <col min="9" max="9" width="33.5703125" style="12" customWidth="1"/>
    <col min="10" max="10" width="28.28515625" style="12" customWidth="1"/>
    <col min="11" max="11" width="9.140625" style="12"/>
    <col min="12" max="14" width="16.28515625" style="12" hidden="1" customWidth="1"/>
    <col min="15" max="15" width="22.42578125" style="12" hidden="1" customWidth="1"/>
    <col min="16" max="20" width="16.28515625" style="12" hidden="1" customWidth="1"/>
    <col min="21" max="21" width="16.28515625" style="168" hidden="1" customWidth="1"/>
    <col min="22" max="22" width="16.28515625" style="12" hidden="1" customWidth="1"/>
    <col min="23" max="23" width="16.28515625" style="168" hidden="1" customWidth="1"/>
    <col min="24" max="37" width="16.28515625" style="12" hidden="1" customWidth="1"/>
    <col min="38" max="40" width="0" style="12" hidden="1" customWidth="1"/>
    <col min="41" max="16384" width="9.140625" style="12"/>
  </cols>
  <sheetData>
    <row r="2" spans="1:46" ht="31.5" customHeight="1" x14ac:dyDescent="0.2">
      <c r="A2" s="167" t="s">
        <v>89</v>
      </c>
      <c r="B2" s="167"/>
      <c r="C2" s="167"/>
      <c r="D2" s="167"/>
      <c r="E2" s="146"/>
      <c r="F2" s="146"/>
      <c r="G2" s="146"/>
      <c r="H2" s="146"/>
      <c r="I2" s="146"/>
      <c r="J2" s="146"/>
    </row>
    <row r="3" spans="1:46" x14ac:dyDescent="0.2">
      <c r="A3" s="167"/>
      <c r="B3" s="167"/>
      <c r="C3" s="167"/>
      <c r="D3" s="167"/>
      <c r="E3" s="146"/>
      <c r="F3" s="146"/>
      <c r="G3" s="146"/>
      <c r="H3" s="146"/>
      <c r="I3" s="146"/>
      <c r="J3" s="146"/>
    </row>
    <row r="4" spans="1:46" ht="13.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</row>
    <row r="5" spans="1:46" ht="18" hidden="1" x14ac:dyDescent="0.25">
      <c r="A5" s="6"/>
      <c r="B5" s="6"/>
      <c r="C5" s="6"/>
      <c r="D5" s="6"/>
      <c r="E5" s="6"/>
      <c r="F5" s="6"/>
      <c r="G5" s="6"/>
      <c r="H5" s="6"/>
      <c r="I5" s="6"/>
      <c r="J5" s="6"/>
    </row>
    <row r="6" spans="1:46" ht="18" x14ac:dyDescent="0.25">
      <c r="A6" s="6"/>
      <c r="B6" s="6"/>
      <c r="C6" s="6"/>
      <c r="D6" s="6"/>
      <c r="E6" s="6"/>
      <c r="F6" s="6"/>
      <c r="G6" s="6"/>
      <c r="H6" s="6"/>
      <c r="I6" s="6"/>
      <c r="J6" s="6"/>
    </row>
    <row r="7" spans="1:46" s="169" customFormat="1" ht="132.75" customHeight="1" x14ac:dyDescent="0.25">
      <c r="A7" s="82" t="s">
        <v>0</v>
      </c>
      <c r="B7" s="82" t="s">
        <v>14</v>
      </c>
      <c r="C7" s="82" t="s">
        <v>69</v>
      </c>
      <c r="D7" s="85" t="s">
        <v>90</v>
      </c>
      <c r="E7" s="85" t="s">
        <v>28</v>
      </c>
      <c r="F7" s="85" t="s">
        <v>29</v>
      </c>
      <c r="G7" s="82" t="s">
        <v>73</v>
      </c>
      <c r="H7" s="86" t="s">
        <v>41</v>
      </c>
      <c r="I7" s="85" t="s">
        <v>93</v>
      </c>
      <c r="J7" s="85" t="s">
        <v>71</v>
      </c>
      <c r="U7" s="170"/>
      <c r="W7" s="170"/>
    </row>
    <row r="8" spans="1:46" s="169" customFormat="1" ht="87.75" customHeight="1" x14ac:dyDescent="0.25">
      <c r="A8" s="83"/>
      <c r="B8" s="83"/>
      <c r="C8" s="83"/>
      <c r="D8" s="85"/>
      <c r="E8" s="85"/>
      <c r="F8" s="85"/>
      <c r="G8" s="83"/>
      <c r="H8" s="86"/>
      <c r="I8" s="85"/>
      <c r="J8" s="85"/>
      <c r="K8" s="171"/>
      <c r="L8" s="172" t="s">
        <v>72</v>
      </c>
      <c r="M8" s="172" t="s">
        <v>63</v>
      </c>
      <c r="N8" s="172" t="s">
        <v>59</v>
      </c>
      <c r="O8" s="173">
        <v>0.8</v>
      </c>
      <c r="P8" s="171" t="s">
        <v>54</v>
      </c>
      <c r="Q8" s="174" t="s">
        <v>53</v>
      </c>
      <c r="R8" s="175" t="s">
        <v>54</v>
      </c>
      <c r="S8" s="174" t="s">
        <v>67</v>
      </c>
      <c r="T8" s="172" t="s">
        <v>54</v>
      </c>
      <c r="U8" s="176">
        <v>0.5</v>
      </c>
      <c r="V8" s="177" t="s">
        <v>54</v>
      </c>
      <c r="W8" s="178">
        <v>0.4</v>
      </c>
      <c r="X8" s="177" t="s">
        <v>54</v>
      </c>
      <c r="Y8" s="173">
        <v>0.3</v>
      </c>
      <c r="Z8" s="177" t="s">
        <v>54</v>
      </c>
      <c r="AA8" s="177">
        <v>0.2</v>
      </c>
      <c r="AB8" s="177" t="s">
        <v>54</v>
      </c>
      <c r="AC8" s="177">
        <v>0.1</v>
      </c>
      <c r="AD8" s="177" t="s">
        <v>54</v>
      </c>
      <c r="AE8" s="177">
        <v>0.01</v>
      </c>
      <c r="AF8" s="177"/>
      <c r="AG8" s="179">
        <v>1E-3</v>
      </c>
      <c r="AI8" s="169">
        <v>0</v>
      </c>
      <c r="AK8" s="169" t="s">
        <v>55</v>
      </c>
      <c r="AM8" s="169">
        <v>0</v>
      </c>
    </row>
    <row r="9" spans="1:46" ht="25.5" x14ac:dyDescent="0.35">
      <c r="A9" s="15">
        <v>1</v>
      </c>
      <c r="B9" s="15" t="s">
        <v>1</v>
      </c>
      <c r="C9" s="154">
        <f>'1 часть дотации'!C7</f>
        <v>11143</v>
      </c>
      <c r="D9" s="180">
        <v>81534.5</v>
      </c>
      <c r="E9" s="61">
        <f>($D$19+параметры!$B$9)/'2 часть дотации'!$D$19</f>
        <v>2.0972121158051356</v>
      </c>
      <c r="F9" s="61">
        <f>ИНП!N9/ИБР!U7</f>
        <v>1.5776894849570786</v>
      </c>
      <c r="G9" s="61">
        <f>F9+J9/(($D$19/$C$19)*ИБР!U7*'2 часть дотации'!C9)</f>
        <v>2.5081747947074748</v>
      </c>
      <c r="H9" s="157">
        <f>IF((($D$19/$C$19)*(E9-F9)*ИБР!U7*'2 часть дотации'!C9)&lt;0,0,(($D$19/$C$19)*(E9-F9)*ИБР!U7*'2 часть дотации'!C9))</f>
        <v>33814.935307744701</v>
      </c>
      <c r="I9" s="157">
        <f>параметры!$B$9*'2 часть дотации'!H9/SUM($H$9:$H$18)</f>
        <v>33630.237333185854</v>
      </c>
      <c r="J9" s="157">
        <f>'1 часть дотации'!D7+'2 часть дотации'!I9</f>
        <v>60563.868993839264</v>
      </c>
      <c r="L9" s="170">
        <v>57666.497400685228</v>
      </c>
      <c r="M9" s="170">
        <v>49835.543382186741</v>
      </c>
      <c r="N9" s="170">
        <f>J9-L9</f>
        <v>2897.3715931540355</v>
      </c>
      <c r="O9" s="181">
        <v>70080.339204784133</v>
      </c>
      <c r="P9" s="182">
        <f>O9-L9</f>
        <v>12413.841804098905</v>
      </c>
      <c r="Q9" s="181">
        <v>68505.837116032257</v>
      </c>
      <c r="R9" s="170">
        <f>Q9-L9</f>
        <v>10839.339715347029</v>
      </c>
      <c r="S9" s="170">
        <v>66932.06433769023</v>
      </c>
      <c r="T9" s="170">
        <f>S9-L9</f>
        <v>9265.5669370050018</v>
      </c>
      <c r="U9" s="183">
        <v>65359.020363149772</v>
      </c>
      <c r="V9" s="170">
        <f t="shared" ref="V9:V19" si="0">U9-L9</f>
        <v>7692.5229624645435</v>
      </c>
      <c r="W9" s="184">
        <v>63786.704686271798</v>
      </c>
      <c r="X9" s="182">
        <f t="shared" ref="X9:X19" si="1">W9-L9</f>
        <v>6120.2072855865699</v>
      </c>
      <c r="Y9" s="182">
        <v>62215.116801385637</v>
      </c>
      <c r="Z9" s="182">
        <f t="shared" ref="Z9:Z19" si="2">Y9-L9</f>
        <v>4548.6194007004087</v>
      </c>
      <c r="AA9" s="182">
        <v>60644.256203288722</v>
      </c>
      <c r="AB9" s="182">
        <f t="shared" ref="AB9:AB18" si="3">AA9-L9</f>
        <v>2977.7588026034937</v>
      </c>
      <c r="AC9" s="182">
        <v>59074.122387245989</v>
      </c>
      <c r="AD9" s="182">
        <f t="shared" ref="AD9:AD18" si="4">AC9-L9</f>
        <v>1407.6249865607606</v>
      </c>
      <c r="AE9" s="182"/>
      <c r="AF9" s="182">
        <f>AE9-L9</f>
        <v>-57666.497400685228</v>
      </c>
      <c r="AG9" s="170"/>
      <c r="AH9" s="170">
        <f>AG9-L9</f>
        <v>-57666.497400685228</v>
      </c>
      <c r="AI9" s="170">
        <v>42480.139350073354</v>
      </c>
      <c r="AJ9" s="170">
        <f>AI9-L9</f>
        <v>-15186.358050611874</v>
      </c>
      <c r="AK9" s="168">
        <v>48320.675745757108</v>
      </c>
      <c r="AL9" s="168">
        <f>AK9-L9</f>
        <v>-9345.8216549281206</v>
      </c>
      <c r="AM9" s="168"/>
      <c r="AN9" s="168"/>
      <c r="AO9" s="168"/>
      <c r="AP9" s="168"/>
      <c r="AQ9" s="168"/>
      <c r="AR9" s="168"/>
      <c r="AS9" s="168"/>
      <c r="AT9" s="168"/>
    </row>
    <row r="10" spans="1:46" ht="25.5" x14ac:dyDescent="0.35">
      <c r="A10" s="15">
        <v>2</v>
      </c>
      <c r="B10" s="15" t="s">
        <v>2</v>
      </c>
      <c r="C10" s="154">
        <f>'1 часть дотации'!C8</f>
        <v>2518</v>
      </c>
      <c r="D10" s="180">
        <v>18572.3</v>
      </c>
      <c r="E10" s="61">
        <f>($D$19+параметры!$B$9)/'2 часть дотации'!$D$19</f>
        <v>2.0972121158051356</v>
      </c>
      <c r="F10" s="61">
        <f>ИНП!N10/ИБР!U8</f>
        <v>1.1002563978744924</v>
      </c>
      <c r="G10" s="61">
        <f>F10+J10/(($D$19/$C$19)*ИБР!U8*'2 часть дотации'!C10)</f>
        <v>2.4532897508545126</v>
      </c>
      <c r="H10" s="157">
        <f>IF((($D$19/$C$19)*(E10-F10)*ИБР!U8*'2 часть дотации'!C10)&lt;0,0,(($D$19/$C$19)*(E10-F10)*ИБР!U8*'2 часть дотации'!C10))</f>
        <v>16783.727171128568</v>
      </c>
      <c r="I10" s="157">
        <f>параметры!$B$9*'2 часть дотации'!H10/SUM($H$9:$H$18)</f>
        <v>16692.054057285713</v>
      </c>
      <c r="J10" s="157">
        <f>'1 часть дотации'!D8+'2 часть дотации'!I10</f>
        <v>22778.286178036433</v>
      </c>
      <c r="L10" s="170">
        <v>28695.690492940659</v>
      </c>
      <c r="M10" s="170">
        <v>28783.999554122045</v>
      </c>
      <c r="N10" s="170">
        <f t="shared" ref="N10:N19" si="5">J10-L10</f>
        <v>-5917.4043149042263</v>
      </c>
      <c r="O10" s="181">
        <v>27994.188010230795</v>
      </c>
      <c r="P10" s="182">
        <f t="shared" ref="P10:P18" si="6">O10-L10</f>
        <v>-701.50248270986413</v>
      </c>
      <c r="Q10" s="181">
        <v>28072.519064723318</v>
      </c>
      <c r="R10" s="170">
        <f t="shared" ref="R10:R18" si="7">Q10-L10</f>
        <v>-623.1714282173416</v>
      </c>
      <c r="S10" s="170">
        <v>28150.813836219542</v>
      </c>
      <c r="T10" s="170">
        <f>S10-L10</f>
        <v>-544.87665672111689</v>
      </c>
      <c r="U10" s="183">
        <v>28229.072349923095</v>
      </c>
      <c r="V10" s="170">
        <f t="shared" si="0"/>
        <v>-466.61814301756385</v>
      </c>
      <c r="W10" s="184">
        <v>28307.294631014254</v>
      </c>
      <c r="X10" s="182">
        <f t="shared" si="1"/>
        <v>-388.3958619264049</v>
      </c>
      <c r="Y10" s="182">
        <v>28385.480704650014</v>
      </c>
      <c r="Z10" s="182">
        <f t="shared" si="2"/>
        <v>-310.20978829064552</v>
      </c>
      <c r="AA10" s="182">
        <v>28463.630595964041</v>
      </c>
      <c r="AB10" s="182">
        <f t="shared" si="3"/>
        <v>-232.05989697661789</v>
      </c>
      <c r="AC10" s="182">
        <v>28541.744330066795</v>
      </c>
      <c r="AD10" s="182">
        <f t="shared" si="4"/>
        <v>-153.94616287386452</v>
      </c>
      <c r="AE10" s="182"/>
      <c r="AF10" s="182">
        <f t="shared" ref="AF10:AF18" si="8">AE10-L10</f>
        <v>-28695.690492940659</v>
      </c>
      <c r="AG10" s="170"/>
      <c r="AH10" s="170">
        <f t="shared" ref="AH10:AH18" si="9">AG10-L10</f>
        <v>-28695.690492940659</v>
      </c>
      <c r="AI10" s="170">
        <v>27788.598155525906</v>
      </c>
      <c r="AJ10" s="170">
        <f t="shared" ref="AJ10:AJ18" si="10">AI10-L10</f>
        <v>-907.09233741475327</v>
      </c>
      <c r="AK10" s="168">
        <v>28067.288181231903</v>
      </c>
      <c r="AL10" s="168">
        <f t="shared" ref="AL10:AL18" si="11">AK10-L10</f>
        <v>-628.40231170875632</v>
      </c>
      <c r="AM10" s="168"/>
      <c r="AN10" s="168"/>
      <c r="AO10" s="168"/>
      <c r="AP10" s="168"/>
      <c r="AQ10" s="168"/>
      <c r="AR10" s="168"/>
      <c r="AS10" s="168"/>
      <c r="AT10" s="168"/>
    </row>
    <row r="11" spans="1:46" ht="25.5" x14ac:dyDescent="0.35">
      <c r="A11" s="15">
        <v>3</v>
      </c>
      <c r="B11" s="15" t="s">
        <v>3</v>
      </c>
      <c r="C11" s="154">
        <f>'1 часть дотации'!C9</f>
        <v>1525</v>
      </c>
      <c r="D11" s="180">
        <v>11377</v>
      </c>
      <c r="E11" s="61">
        <f>($D$19+параметры!$B$9)/'2 часть дотации'!$D$19</f>
        <v>2.0972121158051356</v>
      </c>
      <c r="F11" s="61">
        <f>ИНП!N11/ИБР!U9</f>
        <v>0.7536964455076538</v>
      </c>
      <c r="G11" s="61">
        <f>F11+J11/(($D$19/$C$19)*ИБР!U9*'2 часть дотации'!C11)</f>
        <v>2.422794527689093</v>
      </c>
      <c r="H11" s="157">
        <f>IF((($D$19/$C$19)*(E11-F11)*ИБР!U9*'2 часть дотации'!C11)&lt;0,0,(($D$19/$C$19)*(E11-F11)*ИБР!U9*'2 часть дотации'!C11))</f>
        <v>14875.258879796407</v>
      </c>
      <c r="I11" s="157">
        <f>параметры!$B$9*'2 часть дотации'!H11/SUM($H$9:$H$18)</f>
        <v>14794.009864793628</v>
      </c>
      <c r="J11" s="157">
        <f>'1 часть дотации'!D9+'2 часть дотации'!I11</f>
        <v>18480.071812428596</v>
      </c>
      <c r="L11" s="170">
        <v>21283.887494687122</v>
      </c>
      <c r="M11" s="170">
        <v>16743.545312696348</v>
      </c>
      <c r="N11" s="170">
        <f t="shared" si="5"/>
        <v>-2803.8156822585261</v>
      </c>
      <c r="O11" s="181">
        <v>18991.742424006599</v>
      </c>
      <c r="P11" s="182">
        <f t="shared" si="6"/>
        <v>-2292.1450706805226</v>
      </c>
      <c r="Q11" s="181">
        <v>19271.336080177618</v>
      </c>
      <c r="R11" s="170">
        <f t="shared" si="7"/>
        <v>-2012.551414509504</v>
      </c>
      <c r="S11" s="170">
        <v>19550.800228381999</v>
      </c>
      <c r="T11" s="170">
        <f>S11-L11</f>
        <v>-1733.0872663051232</v>
      </c>
      <c r="U11" s="183">
        <v>19830.134958581173</v>
      </c>
      <c r="V11" s="170">
        <f t="shared" si="0"/>
        <v>-1453.7525361059488</v>
      </c>
      <c r="W11" s="184">
        <v>20109.340360653281</v>
      </c>
      <c r="X11" s="182">
        <f t="shared" si="1"/>
        <v>-1174.5471340338408</v>
      </c>
      <c r="Y11" s="182">
        <v>20388.416524393229</v>
      </c>
      <c r="Z11" s="182">
        <f t="shared" si="2"/>
        <v>-895.47097029389261</v>
      </c>
      <c r="AA11" s="182">
        <v>20667.363539512822</v>
      </c>
      <c r="AB11" s="182">
        <f t="shared" si="3"/>
        <v>-616.52395517429977</v>
      </c>
      <c r="AC11" s="182">
        <v>20946.181495640871</v>
      </c>
      <c r="AD11" s="182">
        <f t="shared" si="4"/>
        <v>-337.70599904625124</v>
      </c>
      <c r="AE11" s="182"/>
      <c r="AF11" s="182">
        <f t="shared" si="8"/>
        <v>-21283.887494687122</v>
      </c>
      <c r="AG11" s="170"/>
      <c r="AH11" s="170">
        <f t="shared" si="9"/>
        <v>-21283.887494687122</v>
      </c>
      <c r="AI11" s="170">
        <v>17851.683837127035</v>
      </c>
      <c r="AJ11" s="170">
        <f t="shared" si="10"/>
        <v>-3432.2036575600869</v>
      </c>
      <c r="AK11" s="168">
        <v>17311.340972439619</v>
      </c>
      <c r="AL11" s="168">
        <f t="shared" si="11"/>
        <v>-3972.5465222475032</v>
      </c>
      <c r="AM11" s="168"/>
      <c r="AN11" s="168"/>
      <c r="AO11" s="168"/>
      <c r="AP11" s="168"/>
      <c r="AQ11" s="168"/>
      <c r="AR11" s="168"/>
      <c r="AS11" s="168"/>
      <c r="AT11" s="168"/>
    </row>
    <row r="12" spans="1:46" ht="25.5" x14ac:dyDescent="0.35">
      <c r="A12" s="15">
        <v>4</v>
      </c>
      <c r="B12" s="15" t="s">
        <v>4</v>
      </c>
      <c r="C12" s="154">
        <f>'1 часть дотации'!C10</f>
        <v>2434</v>
      </c>
      <c r="D12" s="180">
        <v>12157.7</v>
      </c>
      <c r="E12" s="61">
        <f>($D$19+параметры!$B$9)/'2 часть дотации'!$D$19</f>
        <v>2.0972121158051356</v>
      </c>
      <c r="F12" s="61">
        <f>ИНП!N12/ИБР!U10</f>
        <v>0.45466402238416737</v>
      </c>
      <c r="G12" s="61">
        <f>F12+J12/(($D$19/$C$19)*ИБР!U10*'2 часть дотации'!C12)</f>
        <v>2.4530056377426739</v>
      </c>
      <c r="H12" s="157">
        <f>IF((($D$19/$C$19)*(E12-F12)*ИБР!U10*'2 часть дотации'!C12)&lt;0,0,(($D$19/$C$19)*(E12-F12)*ИБР!U10*'2 часть дотации'!C12))</f>
        <v>26492.204914267601</v>
      </c>
      <c r="I12" s="157">
        <f>параметры!$B$9*'2 часть дотации'!H12/SUM($H$9:$H$18)</f>
        <v>26347.503865907398</v>
      </c>
      <c r="J12" s="157">
        <f>'1 часть дотации'!D10+'2 часть дотации'!I12</f>
        <v>32230.700443312977</v>
      </c>
      <c r="L12" s="170">
        <v>28585.286417668663</v>
      </c>
      <c r="M12" s="170">
        <v>26466.729445592799</v>
      </c>
      <c r="N12" s="170">
        <f t="shared" si="5"/>
        <v>3645.4140256443134</v>
      </c>
      <c r="O12" s="181">
        <v>27694.963993316611</v>
      </c>
      <c r="P12" s="182">
        <f t="shared" si="6"/>
        <v>-890.32242435205262</v>
      </c>
      <c r="Q12" s="181">
        <v>27798.124570475873</v>
      </c>
      <c r="R12" s="170">
        <f t="shared" si="7"/>
        <v>-787.16184719279045</v>
      </c>
      <c r="S12" s="170">
        <v>27901.237363587497</v>
      </c>
      <c r="T12" s="170">
        <f>S12-L12</f>
        <v>-684.0490540811661</v>
      </c>
      <c r="U12" s="183">
        <v>28004.302405844206</v>
      </c>
      <c r="V12" s="170">
        <f t="shared" si="0"/>
        <v>-580.98401182445741</v>
      </c>
      <c r="W12" s="184">
        <v>28107.31973040798</v>
      </c>
      <c r="X12" s="182">
        <f t="shared" si="1"/>
        <v>-477.9666872606831</v>
      </c>
      <c r="Y12" s="182">
        <v>28210.289370410093</v>
      </c>
      <c r="Z12" s="182">
        <f t="shared" si="2"/>
        <v>-374.99704725857009</v>
      </c>
      <c r="AA12" s="182">
        <v>28313.211358951179</v>
      </c>
      <c r="AB12" s="182">
        <f t="shared" si="3"/>
        <v>-272.07505871748435</v>
      </c>
      <c r="AC12" s="182">
        <v>28416.085729101196</v>
      </c>
      <c r="AD12" s="182">
        <f t="shared" si="4"/>
        <v>-169.2006885674673</v>
      </c>
      <c r="AE12" s="182"/>
      <c r="AF12" s="182">
        <f t="shared" si="8"/>
        <v>-28585.286417668663</v>
      </c>
      <c r="AG12" s="170"/>
      <c r="AH12" s="170">
        <f t="shared" si="9"/>
        <v>-28585.286417668663</v>
      </c>
      <c r="AI12" s="170">
        <v>26290.561106708585</v>
      </c>
      <c r="AJ12" s="170">
        <f t="shared" si="10"/>
        <v>-2294.7253109600788</v>
      </c>
      <c r="AK12" s="168">
        <v>26562.266043529384</v>
      </c>
      <c r="AL12" s="168">
        <f t="shared" si="11"/>
        <v>-2023.0203741392797</v>
      </c>
      <c r="AM12" s="168"/>
      <c r="AN12" s="168"/>
      <c r="AO12" s="168"/>
      <c r="AP12" s="168"/>
      <c r="AQ12" s="168"/>
      <c r="AR12" s="168"/>
      <c r="AS12" s="168"/>
      <c r="AT12" s="168"/>
    </row>
    <row r="13" spans="1:46" ht="25.5" x14ac:dyDescent="0.35">
      <c r="A13" s="15">
        <v>5</v>
      </c>
      <c r="B13" s="15" t="s">
        <v>5</v>
      </c>
      <c r="C13" s="154">
        <f>'1 часть дотации'!C11</f>
        <v>4036</v>
      </c>
      <c r="D13" s="180">
        <v>27692.3</v>
      </c>
      <c r="E13" s="61">
        <f>($D$19+параметры!$B$9)/'2 часть дотации'!$D$19</f>
        <v>2.0972121158051356</v>
      </c>
      <c r="F13" s="61">
        <f>ИНП!N13/ИБР!U11</f>
        <v>0.52761212994868278</v>
      </c>
      <c r="G13" s="61">
        <f>F13+J13/(($D$19/$C$19)*ИБР!U11*'2 часть дотации'!C13)</f>
        <v>2.4068171324519487</v>
      </c>
      <c r="H13" s="157">
        <f>IF((($D$19/$C$19)*(E13-F13)*ИБР!U11*'2 часть дотации'!C13)&lt;0,0,(($D$19/$C$19)*(E13-F13)*ИБР!U11*'2 часть дотации'!C13))</f>
        <v>48124.086310425853</v>
      </c>
      <c r="I13" s="157">
        <f>параметры!$B$9*'2 часть дотации'!H13/SUM($H$9:$H$18)</f>
        <v>47861.231415447095</v>
      </c>
      <c r="J13" s="157">
        <f>'1 часть дотации'!D11+'2 часть дотации'!I13</f>
        <v>57616.605855220689</v>
      </c>
      <c r="L13" s="170">
        <v>57057.250710893619</v>
      </c>
      <c r="M13" s="170">
        <v>53137.19754416353</v>
      </c>
      <c r="N13" s="170">
        <f t="shared" si="5"/>
        <v>559.35514432706987</v>
      </c>
      <c r="O13" s="181">
        <v>58613.926663423699</v>
      </c>
      <c r="P13" s="182">
        <f t="shared" si="6"/>
        <v>1556.6759525300804</v>
      </c>
      <c r="Q13" s="181">
        <v>58400.278393404718</v>
      </c>
      <c r="R13" s="170">
        <f t="shared" si="7"/>
        <v>1343.0276825110996</v>
      </c>
      <c r="S13" s="170">
        <v>58186.729085405866</v>
      </c>
      <c r="T13" s="170">
        <f t="shared" ref="T13:T18" si="12">S13-L13</f>
        <v>1129.4783745122477</v>
      </c>
      <c r="U13" s="183">
        <v>57973.278670684129</v>
      </c>
      <c r="V13" s="170">
        <f t="shared" si="0"/>
        <v>916.02795979051007</v>
      </c>
      <c r="W13" s="184">
        <v>57759.927080560199</v>
      </c>
      <c r="X13" s="182">
        <f t="shared" si="1"/>
        <v>702.67636966658029</v>
      </c>
      <c r="Y13" s="182">
        <v>57546.674246418275</v>
      </c>
      <c r="Z13" s="182">
        <f t="shared" si="2"/>
        <v>489.42353552465647</v>
      </c>
      <c r="AA13" s="182">
        <v>57333.520099706162</v>
      </c>
      <c r="AB13" s="182">
        <f t="shared" si="3"/>
        <v>276.26938881254318</v>
      </c>
      <c r="AC13" s="182">
        <v>57120.464571934979</v>
      </c>
      <c r="AD13" s="182">
        <f t="shared" si="4"/>
        <v>63.21386104136036</v>
      </c>
      <c r="AE13" s="182"/>
      <c r="AF13" s="182">
        <f t="shared" si="8"/>
        <v>-57057.250710893619</v>
      </c>
      <c r="AG13" s="170"/>
      <c r="AH13" s="170">
        <f t="shared" si="9"/>
        <v>-57057.250710893619</v>
      </c>
      <c r="AI13" s="170">
        <v>51392.337409523017</v>
      </c>
      <c r="AJ13" s="170">
        <f t="shared" si="10"/>
        <v>-5664.9133013706014</v>
      </c>
      <c r="AK13" s="168">
        <v>52846.565668059971</v>
      </c>
      <c r="AL13" s="168">
        <f t="shared" si="11"/>
        <v>-4210.6850428336475</v>
      </c>
      <c r="AM13" s="168"/>
      <c r="AN13" s="168"/>
      <c r="AO13" s="168"/>
      <c r="AP13" s="168"/>
      <c r="AQ13" s="168"/>
      <c r="AR13" s="168"/>
      <c r="AS13" s="168"/>
      <c r="AT13" s="168"/>
    </row>
    <row r="14" spans="1:46" ht="25.5" x14ac:dyDescent="0.35">
      <c r="A14" s="15">
        <v>6</v>
      </c>
      <c r="B14" s="15" t="s">
        <v>6</v>
      </c>
      <c r="C14" s="154">
        <f>'1 часть дотации'!C12</f>
        <v>2570</v>
      </c>
      <c r="D14" s="180">
        <v>15541.4</v>
      </c>
      <c r="E14" s="61">
        <f>($D$19+параметры!$B$9)/'2 часть дотации'!$D$19</f>
        <v>2.0972121158051356</v>
      </c>
      <c r="F14" s="61">
        <f>ИНП!N14/ИБР!U12</f>
        <v>0.46265564460188469</v>
      </c>
      <c r="G14" s="61">
        <f>F14+J14/(($D$19/$C$19)*ИБР!U12*'2 часть дотации'!C14)</f>
        <v>2.4172998307219227</v>
      </c>
      <c r="H14" s="157">
        <f>IF((($D$19/$C$19)*(E14-F14)*ИБР!U12*'2 часть дотации'!C14)&lt;0,0,(($D$19/$C$19)*(E14-F14)*ИБР!U12*'2 часть дотации'!C14))</f>
        <v>30860.944623171046</v>
      </c>
      <c r="I14" s="157">
        <f>параметры!$B$9*'2 часть дотации'!H14/SUM($H$9:$H$18)</f>
        <v>30692.38141543464</v>
      </c>
      <c r="J14" s="157">
        <f>'1 часть дотации'!D12+'2 часть дотации'!I14</f>
        <v>36904.30220587521</v>
      </c>
      <c r="L14" s="170">
        <v>37087.246525459857</v>
      </c>
      <c r="M14" s="170">
        <v>29067.646063111108</v>
      </c>
      <c r="N14" s="170">
        <f t="shared" si="5"/>
        <v>-182.94431958464702</v>
      </c>
      <c r="O14" s="181">
        <v>36307.33371994998</v>
      </c>
      <c r="P14" s="182">
        <f t="shared" si="6"/>
        <v>-779.91280550987722</v>
      </c>
      <c r="Q14" s="181">
        <v>36392.839265759147</v>
      </c>
      <c r="R14" s="170">
        <f t="shared" si="7"/>
        <v>-694.40725970071071</v>
      </c>
      <c r="S14" s="170">
        <v>36478.305205342869</v>
      </c>
      <c r="T14" s="170">
        <f t="shared" si="12"/>
        <v>-608.94132011698821</v>
      </c>
      <c r="U14" s="183">
        <v>36563.731566213231</v>
      </c>
      <c r="V14" s="170">
        <f t="shared" si="0"/>
        <v>-523.51495924662595</v>
      </c>
      <c r="W14" s="184">
        <v>36649.118375856837</v>
      </c>
      <c r="X14" s="182">
        <f t="shared" si="1"/>
        <v>-438.12814960302057</v>
      </c>
      <c r="Y14" s="182">
        <v>36734.465661734859</v>
      </c>
      <c r="Z14" s="182">
        <f t="shared" si="2"/>
        <v>-352.7808637249982</v>
      </c>
      <c r="AA14" s="182">
        <v>36819.773451282999</v>
      </c>
      <c r="AB14" s="182">
        <f t="shared" si="3"/>
        <v>-267.47307417685806</v>
      </c>
      <c r="AC14" s="182">
        <v>36905.041771911616</v>
      </c>
      <c r="AD14" s="182">
        <f t="shared" si="4"/>
        <v>-182.20475354824157</v>
      </c>
      <c r="AE14" s="182"/>
      <c r="AF14" s="182">
        <f t="shared" si="8"/>
        <v>-37087.246525459857</v>
      </c>
      <c r="AG14" s="170"/>
      <c r="AH14" s="170">
        <f t="shared" si="9"/>
        <v>-37087.246525459857</v>
      </c>
      <c r="AI14" s="170">
        <v>28641.934986686178</v>
      </c>
      <c r="AJ14" s="170">
        <f t="shared" si="10"/>
        <v>-8445.3115387736798</v>
      </c>
      <c r="AK14" s="168">
        <v>28119.255399390873</v>
      </c>
      <c r="AL14" s="168">
        <f t="shared" si="11"/>
        <v>-8967.9911260689842</v>
      </c>
      <c r="AM14" s="168"/>
      <c r="AN14" s="168"/>
      <c r="AO14" s="168"/>
      <c r="AP14" s="168"/>
      <c r="AQ14" s="168"/>
      <c r="AR14" s="168"/>
      <c r="AS14" s="168"/>
      <c r="AT14" s="168"/>
    </row>
    <row r="15" spans="1:46" ht="25.5" x14ac:dyDescent="0.35">
      <c r="A15" s="15">
        <v>7</v>
      </c>
      <c r="B15" s="15" t="s">
        <v>7</v>
      </c>
      <c r="C15" s="154">
        <f>'1 часть дотации'!C13</f>
        <v>2414</v>
      </c>
      <c r="D15" s="180">
        <v>12753.9</v>
      </c>
      <c r="E15" s="61">
        <f>($D$19+параметры!$B$9)/'2 часть дотации'!$D$19</f>
        <v>2.0972121158051356</v>
      </c>
      <c r="F15" s="61">
        <f>ИНП!N15/ИБР!U13</f>
        <v>0.5971815221053941</v>
      </c>
      <c r="G15" s="61">
        <f>F15+J15/(($D$19/$C$19)*ИБР!U13*'2 часть дотации'!C15)</f>
        <v>2.3548740311310747</v>
      </c>
      <c r="H15" s="157">
        <f>IF((($D$19/$C$19)*(E15-F15)*ИБР!U13*'2 часть дотации'!C15)&lt;0,0,(($D$19/$C$19)*(E15-F15)*ИБР!U13*'2 часть дотации'!C15))</f>
        <v>32921.91910199936</v>
      </c>
      <c r="I15" s="157">
        <f>параметры!$B$9*'2 часть дотации'!H15/SUM($H$9:$H$18)</f>
        <v>32742.098803028188</v>
      </c>
      <c r="J15" s="157">
        <f>'1 часть дотации'!D13+'2 часть дотации'!I15</f>
        <v>38576.953584399213</v>
      </c>
      <c r="L15" s="170">
        <v>35119.294155096482</v>
      </c>
      <c r="M15" s="170">
        <v>32388.606792617014</v>
      </c>
      <c r="N15" s="170">
        <f t="shared" si="5"/>
        <v>3457.6594293027301</v>
      </c>
      <c r="O15" s="181">
        <v>34008.493145108543</v>
      </c>
      <c r="P15" s="182">
        <f t="shared" si="6"/>
        <v>-1110.8010099879393</v>
      </c>
      <c r="Q15" s="181">
        <v>34132.050517461765</v>
      </c>
      <c r="R15" s="170">
        <f t="shared" si="7"/>
        <v>-987.24363763471774</v>
      </c>
      <c r="S15" s="170">
        <v>34255.550657958323</v>
      </c>
      <c r="T15" s="170">
        <f t="shared" si="12"/>
        <v>-863.743497138159</v>
      </c>
      <c r="U15" s="183">
        <v>34378.993606353732</v>
      </c>
      <c r="V15" s="170">
        <f t="shared" si="0"/>
        <v>-740.30054874275083</v>
      </c>
      <c r="W15" s="184">
        <v>34502.379402366758</v>
      </c>
      <c r="X15" s="182">
        <f t="shared" si="1"/>
        <v>-616.91475272972457</v>
      </c>
      <c r="Y15" s="182">
        <v>34625.708085679333</v>
      </c>
      <c r="Z15" s="182">
        <f t="shared" si="2"/>
        <v>-493.5860694171497</v>
      </c>
      <c r="AA15" s="182">
        <v>34748.97969593673</v>
      </c>
      <c r="AB15" s="182">
        <f t="shared" si="3"/>
        <v>-370.314459159752</v>
      </c>
      <c r="AC15" s="182">
        <v>34872.194272747445</v>
      </c>
      <c r="AD15" s="182">
        <f t="shared" si="4"/>
        <v>-247.09988234903722</v>
      </c>
      <c r="AE15" s="182"/>
      <c r="AF15" s="182">
        <f t="shared" si="8"/>
        <v>-35119.294155096482</v>
      </c>
      <c r="AG15" s="170"/>
      <c r="AH15" s="170">
        <f t="shared" si="9"/>
        <v>-35119.294155096482</v>
      </c>
      <c r="AI15" s="170">
        <v>32952.898988926136</v>
      </c>
      <c r="AJ15" s="170">
        <f t="shared" si="10"/>
        <v>-2166.3951661703468</v>
      </c>
      <c r="AK15" s="168">
        <v>33353.569494140465</v>
      </c>
      <c r="AL15" s="168">
        <f t="shared" si="11"/>
        <v>-1765.724660956017</v>
      </c>
      <c r="AM15" s="168"/>
      <c r="AN15" s="168"/>
      <c r="AO15" s="168"/>
      <c r="AP15" s="168"/>
      <c r="AQ15" s="168"/>
      <c r="AR15" s="168"/>
      <c r="AS15" s="168"/>
      <c r="AT15" s="168"/>
    </row>
    <row r="16" spans="1:46" ht="25.5" x14ac:dyDescent="0.35">
      <c r="A16" s="15">
        <v>8</v>
      </c>
      <c r="B16" s="15" t="s">
        <v>8</v>
      </c>
      <c r="C16" s="154">
        <f>'1 часть дотации'!C14</f>
        <v>1227</v>
      </c>
      <c r="D16" s="180">
        <v>5764.6</v>
      </c>
      <c r="E16" s="61">
        <f>($D$19+параметры!$B$9)/'2 часть дотации'!$D$19</f>
        <v>2.0972121158051356</v>
      </c>
      <c r="F16" s="61">
        <f>ИНП!N16/ИБР!U14</f>
        <v>0.29155261866333937</v>
      </c>
      <c r="G16" s="61">
        <f>F16+J16/(($D$19/$C$19)*ИБР!U14*'2 часть дотации'!C16)</f>
        <v>2.3944769072997003</v>
      </c>
      <c r="H16" s="157">
        <f>IF((($D$19/$C$19)*(E16-F16)*ИБР!U14*'2 часть дотации'!C16)&lt;0,0,(($D$19/$C$19)*(E16-F16)*ИБР!U14*'2 часть дотации'!C16))</f>
        <v>17436.315467457316</v>
      </c>
      <c r="I16" s="157">
        <f>параметры!$B$9*'2 часть дотации'!H16/SUM($H$9:$H$18)</f>
        <v>17341.077900941233</v>
      </c>
      <c r="J16" s="157">
        <f>'1 часть дотации'!D14+'2 часть дотации'!I16</f>
        <v>20306.847087661303</v>
      </c>
      <c r="L16" s="170">
        <v>8405.4627220841921</v>
      </c>
      <c r="M16" s="170">
        <v>18222.117324925173</v>
      </c>
      <c r="N16" s="170">
        <f t="shared" si="5"/>
        <v>11901.384365577111</v>
      </c>
      <c r="O16" s="181">
        <v>5532.7228434921453</v>
      </c>
      <c r="P16" s="182">
        <f t="shared" si="6"/>
        <v>-2872.7398785920468</v>
      </c>
      <c r="Q16" s="181">
        <v>5885.4451982612218</v>
      </c>
      <c r="R16" s="170">
        <f t="shared" si="7"/>
        <v>-2520.0175238229704</v>
      </c>
      <c r="S16" s="170">
        <v>6238.004171802042</v>
      </c>
      <c r="T16" s="170">
        <f t="shared" si="12"/>
        <v>-2167.4585502821501</v>
      </c>
      <c r="U16" s="183">
        <v>6590.3998776057988</v>
      </c>
      <c r="V16" s="170">
        <f t="shared" si="0"/>
        <v>-1815.0628444783933</v>
      </c>
      <c r="W16" s="184">
        <v>6942.6324290585253</v>
      </c>
      <c r="X16" s="182">
        <f t="shared" si="1"/>
        <v>-1462.8302930256668</v>
      </c>
      <c r="Y16" s="182">
        <v>7294.7019394413346</v>
      </c>
      <c r="Z16" s="182">
        <f t="shared" si="2"/>
        <v>-1110.7607826428575</v>
      </c>
      <c r="AA16" s="182">
        <v>7646.608521930475</v>
      </c>
      <c r="AB16" s="182">
        <f t="shared" si="3"/>
        <v>-758.8542001537171</v>
      </c>
      <c r="AC16" s="182">
        <v>7998.3522895974675</v>
      </c>
      <c r="AD16" s="182">
        <f t="shared" si="4"/>
        <v>-407.11043248672468</v>
      </c>
      <c r="AE16" s="182"/>
      <c r="AF16" s="182">
        <f t="shared" si="8"/>
        <v>-8405.4627220841921</v>
      </c>
      <c r="AG16" s="170"/>
      <c r="AH16" s="170">
        <f t="shared" si="9"/>
        <v>-8405.4627220841921</v>
      </c>
      <c r="AI16" s="170">
        <v>18960.409384040482</v>
      </c>
      <c r="AJ16" s="170">
        <f t="shared" si="10"/>
        <v>10554.94666195629</v>
      </c>
      <c r="AK16" s="168">
        <v>18063.693742905649</v>
      </c>
      <c r="AL16" s="168">
        <f t="shared" si="11"/>
        <v>9658.2310208214567</v>
      </c>
      <c r="AM16" s="168"/>
      <c r="AN16" s="168"/>
      <c r="AO16" s="168"/>
      <c r="AP16" s="168"/>
      <c r="AQ16" s="168"/>
      <c r="AR16" s="168"/>
      <c r="AS16" s="168"/>
      <c r="AT16" s="168"/>
    </row>
    <row r="17" spans="1:46" ht="25.5" x14ac:dyDescent="0.35">
      <c r="A17" s="15">
        <v>9</v>
      </c>
      <c r="B17" s="15" t="s">
        <v>9</v>
      </c>
      <c r="C17" s="154">
        <f>'1 часть дотации'!C15</f>
        <v>486</v>
      </c>
      <c r="D17" s="180">
        <v>2713.3</v>
      </c>
      <c r="E17" s="61">
        <f>($D$19+параметры!$B$9)/'2 часть дотации'!$D$19</f>
        <v>2.0972121158051356</v>
      </c>
      <c r="F17" s="61">
        <f>ИНП!N17/ИБР!U15</f>
        <v>0.22583762592022832</v>
      </c>
      <c r="G17" s="61">
        <f>F17+J17/(($D$19/$C$19)*ИБР!U15*'2 часть дотации'!C17)</f>
        <v>2.2233773318911618</v>
      </c>
      <c r="H17" s="157">
        <f>IF((($D$19/$C$19)*(E17-F17)*ИБР!U15*'2 часть дотации'!C17)&lt;0,0,(($D$19/$C$19)*(E17-F17)*ИБР!U15*'2 часть дотации'!C17))</f>
        <v>16118.243570690525</v>
      </c>
      <c r="I17" s="157">
        <f>параметры!$B$9*'2 часть дотации'!H17/SUM($H$9:$H$18)</f>
        <v>16030.205343976222</v>
      </c>
      <c r="J17" s="157">
        <f>'1 часть дотации'!D15+'2 часть дотации'!I17</f>
        <v>17204.910987615956</v>
      </c>
      <c r="L17" s="170">
        <v>17101.694856216473</v>
      </c>
      <c r="M17" s="170">
        <v>12240.582424567943</v>
      </c>
      <c r="N17" s="170">
        <f t="shared" si="5"/>
        <v>103.21613139948386</v>
      </c>
      <c r="O17" s="181">
        <v>12782.821576512997</v>
      </c>
      <c r="P17" s="182">
        <f t="shared" si="6"/>
        <v>-4318.8732797034754</v>
      </c>
      <c r="Q17" s="181">
        <v>13314.01039721551</v>
      </c>
      <c r="R17" s="170">
        <f t="shared" si="7"/>
        <v>-3787.6844590009623</v>
      </c>
      <c r="S17" s="170">
        <v>13844.953170904613</v>
      </c>
      <c r="T17" s="170">
        <f t="shared" si="12"/>
        <v>-3256.7416853118593</v>
      </c>
      <c r="U17" s="183">
        <v>14375.650068494435</v>
      </c>
      <c r="V17" s="170">
        <f t="shared" si="0"/>
        <v>-2726.0447877220377</v>
      </c>
      <c r="W17" s="184">
        <v>14906.101260740841</v>
      </c>
      <c r="X17" s="182">
        <f t="shared" si="1"/>
        <v>-2195.5935954756314</v>
      </c>
      <c r="Y17" s="182">
        <v>15436.306918241615</v>
      </c>
      <c r="Z17" s="182">
        <f t="shared" si="2"/>
        <v>-1665.3879379748578</v>
      </c>
      <c r="AA17" s="182">
        <v>15966.267211436647</v>
      </c>
      <c r="AB17" s="182">
        <f t="shared" si="3"/>
        <v>-1135.4276447798256</v>
      </c>
      <c r="AC17" s="182">
        <v>16495.982310608102</v>
      </c>
      <c r="AD17" s="182">
        <f t="shared" si="4"/>
        <v>-605.71254560837042</v>
      </c>
      <c r="AE17" s="182"/>
      <c r="AF17" s="182">
        <f t="shared" si="8"/>
        <v>-17101.694856216473</v>
      </c>
      <c r="AG17" s="170"/>
      <c r="AH17" s="170">
        <f t="shared" si="9"/>
        <v>-17101.694856216473</v>
      </c>
      <c r="AI17" s="170">
        <v>14479.263315222381</v>
      </c>
      <c r="AJ17" s="170">
        <f t="shared" si="10"/>
        <v>-2622.4315409940918</v>
      </c>
      <c r="AK17" s="168">
        <v>12978.315966745931</v>
      </c>
      <c r="AL17" s="168">
        <f t="shared" si="11"/>
        <v>-4123.3788894705413</v>
      </c>
      <c r="AM17" s="168"/>
      <c r="AN17" s="168"/>
      <c r="AO17" s="168"/>
      <c r="AP17" s="168"/>
      <c r="AQ17" s="168"/>
      <c r="AR17" s="168"/>
      <c r="AS17" s="168"/>
      <c r="AT17" s="168"/>
    </row>
    <row r="18" spans="1:46" ht="25.5" x14ac:dyDescent="0.35">
      <c r="A18" s="15">
        <v>10</v>
      </c>
      <c r="B18" s="15" t="s">
        <v>10</v>
      </c>
      <c r="C18" s="154">
        <f>'1 часть дотации'!C16</f>
        <v>1858</v>
      </c>
      <c r="D18" s="180">
        <v>27102.799999999999</v>
      </c>
      <c r="E18" s="61">
        <f>($D$19+параметры!$B$9)/'2 часть дотации'!$D$19</f>
        <v>2.0972121158051356</v>
      </c>
      <c r="F18" s="61">
        <f>ИНП!N18/ИБР!U16</f>
        <v>2.1766347192158801</v>
      </c>
      <c r="G18" s="61">
        <f>F18+J18/(($D$19/$C$19)*ИБР!U16*'2 часть дотации'!C18)</f>
        <v>2.4516759325684903</v>
      </c>
      <c r="H18" s="157">
        <f>IF((($D$19/$C$19)*(E18-F18)*ИБР!U16*'2 часть дотации'!C18)&lt;0,0,(($D$19/$C$19)*(E18-F18)*ИБР!U16*'2 часть дотации'!C18))</f>
        <v>0</v>
      </c>
      <c r="I18" s="157">
        <f>параметры!$B$9*'2 часть дотации'!H18/SUM($H$9:$H$18)</f>
        <v>0</v>
      </c>
      <c r="J18" s="157">
        <f>'1 часть дотации'!D16+'2 часть дотации'!I18</f>
        <v>4490.9528516103401</v>
      </c>
      <c r="L18" s="170">
        <v>9785.4892242676779</v>
      </c>
      <c r="M18" s="170">
        <v>13472.232156017324</v>
      </c>
      <c r="N18" s="170">
        <f t="shared" si="5"/>
        <v>-5294.5363726573378</v>
      </c>
      <c r="O18" s="181">
        <v>7812.8684191745342</v>
      </c>
      <c r="P18" s="182">
        <f t="shared" si="6"/>
        <v>-1972.6208050931436</v>
      </c>
      <c r="Q18" s="181">
        <v>8046.9593964886353</v>
      </c>
      <c r="R18" s="170">
        <f t="shared" si="7"/>
        <v>-1738.5298277790425</v>
      </c>
      <c r="S18" s="170">
        <v>8280.9419427070716</v>
      </c>
      <c r="T18" s="170">
        <f t="shared" si="12"/>
        <v>-1504.5472815606063</v>
      </c>
      <c r="U18" s="183">
        <v>8514.8161331504525</v>
      </c>
      <c r="V18" s="170">
        <f t="shared" si="0"/>
        <v>-1270.6730911172253</v>
      </c>
      <c r="W18" s="184">
        <v>8748.5820430695949</v>
      </c>
      <c r="X18" s="182">
        <f t="shared" si="1"/>
        <v>-1036.907181198083</v>
      </c>
      <c r="Y18" s="182">
        <v>8982.2397476456754</v>
      </c>
      <c r="Z18" s="182">
        <f t="shared" si="2"/>
        <v>-803.24947662200248</v>
      </c>
      <c r="AA18" s="182">
        <v>9215.789321990298</v>
      </c>
      <c r="AB18" s="182">
        <f t="shared" si="3"/>
        <v>-569.69990227737981</v>
      </c>
      <c r="AC18" s="182">
        <v>9449.2308411455651</v>
      </c>
      <c r="AD18" s="182">
        <f t="shared" si="4"/>
        <v>-336.25838312211272</v>
      </c>
      <c r="AE18" s="182"/>
      <c r="AF18" s="182">
        <f t="shared" si="8"/>
        <v>-9785.4892242676779</v>
      </c>
      <c r="AG18" s="170"/>
      <c r="AH18" s="170">
        <f t="shared" si="9"/>
        <v>-9785.4892242676779</v>
      </c>
      <c r="AI18" s="170">
        <v>10644.673466166987</v>
      </c>
      <c r="AJ18" s="170">
        <f t="shared" si="10"/>
        <v>859.1842418993092</v>
      </c>
      <c r="AK18" s="168">
        <v>10092.228785799118</v>
      </c>
      <c r="AL18" s="168">
        <f t="shared" si="11"/>
        <v>306.7395615314399</v>
      </c>
      <c r="AM18" s="168"/>
      <c r="AN18" s="168"/>
      <c r="AO18" s="168"/>
      <c r="AP18" s="168"/>
      <c r="AQ18" s="168"/>
      <c r="AR18" s="168"/>
      <c r="AS18" s="168"/>
      <c r="AT18" s="168"/>
    </row>
    <row r="19" spans="1:46" s="186" customFormat="1" ht="26.25" x14ac:dyDescent="0.4">
      <c r="A19" s="16"/>
      <c r="B19" s="16" t="s">
        <v>11</v>
      </c>
      <c r="C19" s="159">
        <f>C9+C10+C11+C12+C13+C14+C15+C16+C17+C18</f>
        <v>30211</v>
      </c>
      <c r="D19" s="185">
        <f>D9+D10+D11+D12+D13+D14+D15+D16+D17+D18</f>
        <v>215209.79999999996</v>
      </c>
      <c r="E19" s="161">
        <f>($D$19+параметры!$B$9)/'2 часть дотации'!$D$19</f>
        <v>2.0972121158051356</v>
      </c>
      <c r="F19" s="61"/>
      <c r="G19" s="61"/>
      <c r="H19" s="162">
        <f>H9+H10+H11+H12+H13+H14+H15+H16+H17+H18</f>
        <v>237427.6353466814</v>
      </c>
      <c r="I19" s="162">
        <f>I9+I10+I11+I12+I13+I14+I15+I16+I17+I18</f>
        <v>236130.79999999996</v>
      </c>
      <c r="J19" s="162">
        <f>SUM(J9:J18)</f>
        <v>309153.49999999994</v>
      </c>
      <c r="L19" s="187">
        <f>SUM(L9:L18)</f>
        <v>300787.8</v>
      </c>
      <c r="M19" s="187">
        <f>SUM(M9:M18)</f>
        <v>280358.2</v>
      </c>
      <c r="N19" s="187">
        <f t="shared" si="5"/>
        <v>8365.6999999999534</v>
      </c>
      <c r="O19" s="188">
        <f>O9+O10+O11+O12+O13+O14+O15+O16+O17+O18</f>
        <v>299819.40000000008</v>
      </c>
      <c r="P19" s="188">
        <f>P9+P10+P12+P11+P13+P14+P15+P16+P17+P18</f>
        <v>-968.39999999993597</v>
      </c>
      <c r="Q19" s="187">
        <f>Q9+Q10+Q11+Q12+Q13+Q14+Q15+Q16+Q17+Q18</f>
        <v>299819.40000000008</v>
      </c>
      <c r="R19" s="187">
        <f>R9+R10+R12+R11+R13+R14+R15+R16+R17+R18</f>
        <v>-968.39999999991142</v>
      </c>
      <c r="S19" s="187">
        <f>SUM(S9:S18)</f>
        <v>299819.40000000002</v>
      </c>
      <c r="T19" s="187">
        <f>S19-L19</f>
        <v>-968.39999999996508</v>
      </c>
      <c r="U19" s="189">
        <f>U9+U10+U11+U12+U13+U14+U15+U16+U17+U18</f>
        <v>299819.40000000002</v>
      </c>
      <c r="V19" s="187">
        <f t="shared" si="0"/>
        <v>-968.39999999996508</v>
      </c>
      <c r="W19" s="190">
        <f>W9+W10+W11+W12+W13+W14+W15+W16+W17+W18</f>
        <v>299819.40000000008</v>
      </c>
      <c r="X19" s="188">
        <f t="shared" si="1"/>
        <v>-968.39999999990687</v>
      </c>
      <c r="Y19" s="188">
        <f>Y9+Y10+Y11+Y12+Y13+Y14+Y15+Y16+Y17+Y18</f>
        <v>299819.40000000002</v>
      </c>
      <c r="Z19" s="188">
        <f t="shared" si="2"/>
        <v>-968.39999999996508</v>
      </c>
      <c r="AA19" s="188">
        <f>AA9+AA10+AA11+AA12+AA13+AA14+AA15+AA16+AA17+AA18</f>
        <v>299819.40000000002</v>
      </c>
      <c r="AB19" s="188">
        <f>AB9+AB10+AB11+AB12+AB13+AB14+AB15+AB16+AB17+AB18</f>
        <v>-968.39999999989777</v>
      </c>
      <c r="AC19" s="188">
        <f t="shared" ref="AC19:AK19" si="13">SUM(AC9:AC18)</f>
        <v>299819.39999999997</v>
      </c>
      <c r="AD19" s="188">
        <f t="shared" si="13"/>
        <v>-968.3999999999487</v>
      </c>
      <c r="AE19" s="188">
        <f t="shared" si="13"/>
        <v>0</v>
      </c>
      <c r="AF19" s="188">
        <f t="shared" si="13"/>
        <v>-300787.8</v>
      </c>
      <c r="AG19" s="188">
        <f t="shared" si="13"/>
        <v>0</v>
      </c>
      <c r="AH19" s="188">
        <f t="shared" si="13"/>
        <v>-300787.8</v>
      </c>
      <c r="AI19" s="170">
        <f t="shared" si="13"/>
        <v>271482.50000000006</v>
      </c>
      <c r="AJ19" s="187">
        <f t="shared" si="13"/>
        <v>-29305.299999999908</v>
      </c>
      <c r="AK19" s="191">
        <f t="shared" si="13"/>
        <v>275715.20000000001</v>
      </c>
      <c r="AL19" s="191"/>
      <c r="AM19" s="191"/>
      <c r="AN19" s="191"/>
      <c r="AO19" s="191"/>
      <c r="AP19" s="191"/>
      <c r="AQ19" s="191"/>
      <c r="AR19" s="191"/>
      <c r="AS19" s="191"/>
      <c r="AT19" s="191"/>
    </row>
    <row r="20" spans="1:46" x14ac:dyDescent="0.2">
      <c r="D20" s="17"/>
    </row>
    <row r="22" spans="1:46" x14ac:dyDescent="0.2">
      <c r="N22" s="168">
        <f>N15+N16+N18</f>
        <v>10064.507422222503</v>
      </c>
      <c r="P22" s="192">
        <f>P10+P11+P15+P16+P17</f>
        <v>-11296.061721673848</v>
      </c>
      <c r="R22" s="168">
        <f>R10+R11+R15+R16+R17</f>
        <v>-9930.6684631854951</v>
      </c>
      <c r="T22" s="168">
        <f>T10+T11+T15+T16+T17</f>
        <v>-8565.9076557584085</v>
      </c>
      <c r="V22" s="168">
        <f>V10+V11+V15+V16+V17</f>
        <v>-7201.7788600666945</v>
      </c>
      <c r="X22" s="192">
        <f>X10+X11+X15+X16+X17</f>
        <v>-5838.2816371912686</v>
      </c>
      <c r="Z22" s="192">
        <f>Z10+Z11+Z15+Z16+Z17</f>
        <v>-4475.4155486194031</v>
      </c>
      <c r="AB22" s="192">
        <f>AB10+AB15+AB16+AB17</f>
        <v>-2496.6562010699126</v>
      </c>
      <c r="AD22" s="192">
        <f>AD10+AD15+AD16+AD17</f>
        <v>-1413.8690233179968</v>
      </c>
    </row>
    <row r="23" spans="1:46" x14ac:dyDescent="0.2">
      <c r="N23" s="168"/>
    </row>
    <row r="24" spans="1:46" ht="15" customHeight="1" x14ac:dyDescent="0.2">
      <c r="A24" s="193" t="s">
        <v>31</v>
      </c>
      <c r="B24" s="194"/>
      <c r="C24" s="194"/>
      <c r="D24" s="194"/>
      <c r="E24" s="194"/>
      <c r="F24" s="194"/>
      <c r="G24" s="194"/>
      <c r="H24" s="194"/>
      <c r="I24" s="194"/>
    </row>
    <row r="25" spans="1:46" ht="39.75" customHeight="1" x14ac:dyDescent="0.2">
      <c r="A25" s="194"/>
      <c r="B25" s="194"/>
      <c r="C25" s="194"/>
      <c r="D25" s="194"/>
      <c r="E25" s="194"/>
      <c r="F25" s="194"/>
      <c r="G25" s="194"/>
      <c r="H25" s="194"/>
      <c r="I25" s="194"/>
    </row>
  </sheetData>
  <customSheetViews>
    <customSheetView guid="{CE336351-7BD3-4872-92F0-8965CF315520}" scale="70" showPageBreaks="1" fitToPage="1" printArea="1">
      <selection activeCell="F16" sqref="F16"/>
      <pageMargins left="0.45" right="0.27" top="0.74803149606299213" bottom="0.74803149606299213" header="0.31496062992125984" footer="0.31496062992125984"/>
      <pageSetup paperSize="9" scale="19" orientation="landscape" r:id="rId1"/>
    </customSheetView>
    <customSheetView guid="{302671BE-4EBD-4277-AB7D-2E6FD69B3D87}" scale="73" showPageBreaks="1" fitToPage="1" printArea="1" topLeftCell="D5">
      <selection activeCell="I19" sqref="I19"/>
      <pageMargins left="0.45" right="0.27" top="0.74803149606299213" bottom="0.74803149606299213" header="0.31496062992125984" footer="0.31496062992125984"/>
      <pageSetup paperSize="9" scale="19" orientation="landscape" r:id="rId2"/>
    </customSheetView>
  </customSheetViews>
  <mergeCells count="12">
    <mergeCell ref="A24:I25"/>
    <mergeCell ref="E7:E8"/>
    <mergeCell ref="F7:F8"/>
    <mergeCell ref="H7:H8"/>
    <mergeCell ref="I7:I8"/>
    <mergeCell ref="A2:J3"/>
    <mergeCell ref="J7:J8"/>
    <mergeCell ref="A7:A8"/>
    <mergeCell ref="B7:B8"/>
    <mergeCell ref="C7:C8"/>
    <mergeCell ref="D7:D8"/>
    <mergeCell ref="G7:G8"/>
  </mergeCells>
  <pageMargins left="0.45" right="0.27" top="0.74803149606299213" bottom="0.74803149606299213" header="0.31496062992125984" footer="0.31496062992125984"/>
  <pageSetup paperSize="9" scale="48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параметры</vt:lpstr>
      <vt:lpstr>1 часть дотации</vt:lpstr>
      <vt:lpstr>ИНП</vt:lpstr>
      <vt:lpstr>ИБР</vt:lpstr>
      <vt:lpstr>2 часть дотации (реальные пок2)</vt:lpstr>
      <vt:lpstr>2 часть дотации</vt:lpstr>
      <vt:lpstr>ИБР!Заголовки_для_печати</vt:lpstr>
      <vt:lpstr>'2 часть дотации'!Область_печати</vt:lpstr>
      <vt:lpstr>'2 часть дотации (реальные пок2)'!Область_печати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022214</cp:lastModifiedBy>
  <cp:lastPrinted>2025-10-23T13:19:18Z</cp:lastPrinted>
  <dcterms:created xsi:type="dcterms:W3CDTF">1996-10-08T23:32:33Z</dcterms:created>
  <dcterms:modified xsi:type="dcterms:W3CDTF">2025-11-14T08:20:07Z</dcterms:modified>
</cp:coreProperties>
</file>