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 activeTab="5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1" sheetId="9" r:id="rId6"/>
    <sheet name="Лист2" sheetId="10" r:id="rId7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C6" i="9"/>
  <c r="D19" i="5" l="1"/>
  <c r="B10"/>
  <c r="B9"/>
  <c r="D11"/>
  <c r="H18" i="9"/>
  <c r="E17"/>
  <c r="E6"/>
  <c r="H13" i="3" l="1"/>
  <c r="H11"/>
  <c r="H7"/>
  <c r="I8" i="10"/>
  <c r="I9"/>
  <c r="I10"/>
  <c r="I11"/>
  <c r="I12"/>
  <c r="I13"/>
  <c r="I14"/>
  <c r="I15"/>
  <c r="I16"/>
  <c r="I7"/>
  <c r="G8"/>
  <c r="G9"/>
  <c r="G10"/>
  <c r="G11"/>
  <c r="G12"/>
  <c r="G13"/>
  <c r="G14"/>
  <c r="G15"/>
  <c r="G16"/>
  <c r="G7"/>
  <c r="E8"/>
  <c r="E9"/>
  <c r="E10"/>
  <c r="E11"/>
  <c r="E12"/>
  <c r="E13"/>
  <c r="E14"/>
  <c r="E15"/>
  <c r="E16"/>
  <c r="E7"/>
  <c r="H17"/>
  <c r="I17" s="1"/>
  <c r="F17"/>
  <c r="D17"/>
  <c r="E17" s="1"/>
  <c r="C17"/>
  <c r="B15" i="5"/>
  <c r="D15"/>
  <c r="D18" l="1"/>
  <c r="G17" i="10"/>
  <c r="D10" i="5"/>
  <c r="D9"/>
  <c r="E9" i="9" l="1"/>
  <c r="F16"/>
  <c r="D16"/>
  <c r="E15"/>
  <c r="E14"/>
  <c r="E13"/>
  <c r="E12"/>
  <c r="E11"/>
  <c r="E10"/>
  <c r="E8"/>
  <c r="E7"/>
  <c r="C16" l="1"/>
  <c r="E16"/>
  <c r="B4" i="5" l="1"/>
  <c r="M8" i="3" l="1"/>
  <c r="B6" i="5" l="1"/>
  <c r="B17" l="1"/>
  <c r="B16"/>
  <c r="B18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I16" s="1"/>
  <c r="H12"/>
  <c r="I12" s="1"/>
  <c r="H15"/>
  <c r="I15" s="1"/>
  <c r="H14"/>
  <c r="I14" s="1"/>
  <c r="H17"/>
  <c r="I17" s="1"/>
  <c r="H11"/>
  <c r="I11" s="1"/>
  <c r="H13"/>
  <c r="I13" s="1"/>
  <c r="G19"/>
  <c r="H18"/>
  <c r="I18" s="1"/>
  <c r="H10"/>
  <c r="I10" s="1"/>
  <c r="H19" l="1"/>
  <c r="I19" l="1"/>
</calcChain>
</file>

<file path=xl/sharedStrings.xml><?xml version="1.0" encoding="utf-8"?>
<sst xmlns="http://schemas.openxmlformats.org/spreadsheetml/2006/main" count="165" uniqueCount="95">
  <si>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</si>
  <si>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</si>
  <si>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</si>
  <si>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</si>
  <si>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</si>
  <si>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</si>
  <si>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</si>
  <si>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</si>
  <si>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</si>
  <si>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</si>
  <si>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</si>
  <si>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</si>
  <si>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</si>
  <si>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</si>
  <si>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</si>
  <si>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</si>
  <si>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</si>
  <si>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</si>
  <si>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</si>
  <si>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</si>
  <si>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</si>
  <si>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</si>
  <si>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</si>
  <si>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</si>
  <si>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</si>
  <si>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</si>
  <si>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</si>
  <si>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</si>
  <si>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</si>
  <si>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</si>
  <si>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</si>
  <si>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</si>
  <si>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</si>
  <si>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</si>
  <si>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</si>
  <si>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</si>
  <si>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</si>
  <si>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</si>
  <si>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</si>
  <si>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</si>
  <si>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</si>
  <si>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</si>
  <si>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</si>
  <si>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</si>
  <si>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</si>
  <si>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</si>
  <si>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</si>
  <si>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</si>
  <si>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</si>
  <si>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</si>
  <si>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</si>
  <si>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Налог на имущество физических лиц (форма 5-МН за 2015 год), тыс.руб.</t>
  </si>
  <si>
    <t>Земельный налог (форма 5-МН за 2015год), тыс.руб.</t>
  </si>
  <si>
    <t>Экономически обоснованный тариф на водоснабжение и водоотведение, руб. за куб.м на 2017 год</t>
  </si>
  <si>
    <t>Экономически обоснованный тариф на теплоснабжение, руб. за Гкал. на 2017 год</t>
  </si>
  <si>
    <t>за счет субсидии</t>
  </si>
  <si>
    <t>за счет субвенции</t>
  </si>
  <si>
    <t>6=3+4+5</t>
  </si>
  <si>
    <t>Фактическое исполнение за 2016 год (без учета целевых средств)</t>
  </si>
  <si>
    <t>Параметры распределения районного фонда финансовой поддержки поселений на 2018 год</t>
  </si>
  <si>
    <t>Численность постоянного населения, чел. На 01.01.2017</t>
  </si>
  <si>
    <t>Часть РФФПП в сумме 54 437,8 тыс.руб.  равна объему субвенции на</t>
  </si>
  <si>
    <t>Налог на доходы физических лиц (форма 5-НДФЛ за 2016 год), руб.</t>
  </si>
  <si>
    <t>Численность постоянного населения на 01.01.2017 года, чел.</t>
  </si>
  <si>
    <t>Численность постоянного населения, на 01.01.2017 года/ чел.</t>
  </si>
  <si>
    <t>Численность постоянного сельского населения, на 01.01.2017 года /чел.</t>
  </si>
  <si>
    <t>Численность постоянного населения, проживающего в населенных пунктах с численностью населения не более 500 чел., на 01.01.2017 года /  чел.</t>
  </si>
  <si>
    <t>Протяженность дорог, км на 01.01.2017 года</t>
  </si>
  <si>
    <t>Площадь жилого фонда по состоянию на 01.01.2017 года, тыс.кв.м</t>
  </si>
  <si>
    <t>Экономически обоснованный тариф на электроснабжение, за мВТ.час на 2017 год</t>
  </si>
  <si>
    <t>Численность постоянного населения, чел. На 01.01.2017 г</t>
  </si>
  <si>
    <t>Доля расходов на благоустройство 0503</t>
  </si>
  <si>
    <t>Дотация на 2017 год</t>
  </si>
  <si>
    <t>Налог на доходы физических лиц (прогноз поступлений на 2019 год), тыс.руб.</t>
  </si>
  <si>
    <t>Расчет индекса налогового потенциала поселений на 2019 год</t>
  </si>
  <si>
    <t>Налог на имущество физических лиц (прогноз поступлений на 2019 год), тыс.руб.</t>
  </si>
  <si>
    <t>Земельный налог (прогноз поступлений на 2019 год), тыс.руб.</t>
  </si>
  <si>
    <t>Расчет размера второй части дотации на 2019 год</t>
  </si>
  <si>
    <t>Прогноз налоговых доходов на 2019 год, тыс.руб.</t>
  </si>
  <si>
    <t>Размер второй части дотации на выравнивание бюджетной обеспеченности на 2019 год, тыс.руб.</t>
  </si>
  <si>
    <t>Размер дотации на выравнивание бюджетной обеспеченности на 2019 год, тыс.руб.</t>
  </si>
  <si>
    <t>Расчет индекса бюджетных расходов на 2019 год</t>
  </si>
  <si>
    <t>РФФПП на 2019 год = 267 228,5 т.р. (сокращение на 15%)</t>
  </si>
  <si>
    <t xml:space="preserve">Дотация на 2019 год при ВК 0,7 </t>
  </si>
  <si>
    <t>Оклонение 2019 год от 2017 года при ВК 0,7</t>
  </si>
  <si>
    <t>Дотация на 2019 год при ВК 0,8</t>
  </si>
  <si>
    <t>Оклонение 2019 год от 2017 года при ВК 0,8</t>
  </si>
  <si>
    <t>Дотация на 2019 год при ВК 0,95</t>
  </si>
  <si>
    <t>Оклонение 2019 год от 2017 года при ВК 0,95</t>
  </si>
  <si>
    <t xml:space="preserve">Дотация на 2019 год </t>
  </si>
  <si>
    <t>за счет бюджета района при снижении РФФПП на 15% и ВК 0,8</t>
  </si>
  <si>
    <t>Расчет размера первой части дотации на 2019 год</t>
  </si>
  <si>
    <t>Размер первой части дотации на 2019 год, тыс.руб.</t>
  </si>
  <si>
    <t>Доля расходов на содержание муниципального жилого фонда по всем поселениям</t>
  </si>
  <si>
    <t xml:space="preserve">Доля расходов на муниципальное управление и организацию оказания услуг в области культуры по всем поселениям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</si>
</sst>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4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166" fontId="0" fillId="0" borderId="0" xfId="0" applyNumberFormat="1"/>
    <xf numFmtId="166" fontId="5" fillId="0" borderId="1" xfId="0" applyNumberFormat="1" applyFont="1" applyFill="1" applyBorder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166" fontId="22" fillId="0" borderId="1" xfId="0" applyNumberFormat="1" applyFont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0" fontId="22" fillId="2" borderId="0" xfId="0" applyFont="1" applyFill="1" applyBorder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0" fillId="2" borderId="4" xfId="0" applyFont="1" applyFill="1" applyBorder="1" applyAlignment="1">
      <alignment horizontal="center"/>
    </xf>
    <xf numFmtId="0" fontId="0" fillId="0" borderId="1" xfId="0" applyBorder="1"/>
    <xf numFmtId="4" fontId="23" fillId="2" borderId="1" xfId="0" applyNumberFormat="1" applyFont="1" applyFill="1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0" fontId="3" fillId="0" borderId="0" xfId="0" applyFont="1"/>
    <xf numFmtId="166" fontId="22" fillId="2" borderId="5" xfId="0" applyNumberFormat="1" applyFont="1" applyFill="1" applyBorder="1"/>
    <xf numFmtId="166" fontId="22" fillId="0" borderId="5" xfId="0" applyNumberFormat="1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9" fillId="0" borderId="1" xfId="0" applyNumberFormat="1" applyFont="1" applyFill="1" applyBorder="1"/>
    <xf numFmtId="166" fontId="15" fillId="0" borderId="1" xfId="0" applyNumberFormat="1" applyFont="1" applyFill="1" applyBorder="1"/>
    <xf numFmtId="166" fontId="14" fillId="0" borderId="1" xfId="0" applyNumberFormat="1" applyFont="1" applyFill="1" applyBorder="1"/>
    <xf numFmtId="0" fontId="15" fillId="0" borderId="1" xfId="0" applyFont="1" applyFill="1" applyBorder="1"/>
    <xf numFmtId="3" fontId="15" fillId="0" borderId="1" xfId="0" applyNumberFormat="1" applyFont="1" applyFill="1" applyBorder="1"/>
    <xf numFmtId="3" fontId="14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Normal_own-reg-rev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topLeftCell="A2" zoomScale="75" zoomScaleNormal="75" workbookViewId="0">
      <selection activeCell="F3" sqref="F3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97" t="s">
        <v>59</v>
      </c>
      <c r="B2" s="98"/>
      <c r="C2" s="98"/>
      <c r="D2" s="98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44</v>
      </c>
      <c r="B4" s="23">
        <f>D4</f>
        <v>267228.5</v>
      </c>
      <c r="C4" s="21"/>
      <c r="D4" s="24">
        <v>267228.5</v>
      </c>
      <c r="F4" s="49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45</v>
      </c>
      <c r="B5" s="23">
        <v>54437.8</v>
      </c>
      <c r="C5" s="21"/>
      <c r="D5" s="95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46</v>
      </c>
      <c r="B6" s="23">
        <f>B4-B5</f>
        <v>212790.7</v>
      </c>
      <c r="C6" s="21"/>
      <c r="D6" s="9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91" t="s">
        <v>20</v>
      </c>
      <c r="B8" s="92"/>
      <c r="C8" s="21"/>
      <c r="D8" s="31" t="s">
        <v>58</v>
      </c>
    </row>
    <row r="9" spans="1:17" ht="199.5" customHeight="1">
      <c r="A9" s="22" t="s">
        <v>47</v>
      </c>
      <c r="B9" s="17">
        <f>D9/D11</f>
        <v>0.5931766263546181</v>
      </c>
      <c r="C9" s="21"/>
      <c r="D9" s="24">
        <f>107582.9+81863.1+30751.9+22679+3271.6+11106.9-3156.9-244.9-188.2</f>
        <v>253665.4</v>
      </c>
    </row>
    <row r="10" spans="1:17" ht="121.5">
      <c r="A10" s="22" t="s">
        <v>49</v>
      </c>
      <c r="B10" s="17">
        <f>D10/D11</f>
        <v>7.4374899009421236E-2</v>
      </c>
      <c r="C10" s="21"/>
      <c r="D10" s="24">
        <f>16286.4+13872.1+1754.5-15.4-92</f>
        <v>31805.599999999999</v>
      </c>
    </row>
    <row r="11" spans="1:17" ht="20.25">
      <c r="A11" s="22" t="s">
        <v>43</v>
      </c>
      <c r="B11" s="25"/>
      <c r="C11" s="21"/>
      <c r="D11" s="24">
        <f>577199.8+276789.9-4420.7-432094.1+10164</f>
        <v>427638.90000000014</v>
      </c>
      <c r="F11" s="11"/>
    </row>
    <row r="12" spans="1:17" ht="20.25">
      <c r="A12" s="21"/>
      <c r="B12" s="21"/>
      <c r="C12" s="21"/>
      <c r="D12" s="24"/>
    </row>
    <row r="13" spans="1:17" ht="20.25">
      <c r="A13" s="21"/>
      <c r="B13" s="21"/>
      <c r="C13" s="21"/>
      <c r="D13" s="30"/>
    </row>
    <row r="14" spans="1:17" ht="84.75" customHeight="1">
      <c r="A14" s="93" t="s">
        <v>19</v>
      </c>
      <c r="B14" s="94"/>
      <c r="C14" s="21"/>
      <c r="D14" s="31" t="s">
        <v>58</v>
      </c>
    </row>
    <row r="15" spans="1:17" ht="81">
      <c r="A15" s="22" t="s">
        <v>94</v>
      </c>
      <c r="B15" s="17">
        <f>D15/D19</f>
        <v>0.52046270813997497</v>
      </c>
      <c r="C15" s="21"/>
      <c r="D15" s="24">
        <f>117137.9+117325.8-11893.6</f>
        <v>222570.1</v>
      </c>
    </row>
    <row r="16" spans="1:17" ht="60.75">
      <c r="A16" s="22" t="s">
        <v>93</v>
      </c>
      <c r="B16" s="17">
        <f>D16/D19</f>
        <v>2.2283286202447902E-2</v>
      </c>
      <c r="C16" s="21"/>
      <c r="D16" s="24">
        <v>9529.2000000000007</v>
      </c>
    </row>
    <row r="17" spans="1:4" ht="40.5">
      <c r="A17" s="22" t="s">
        <v>71</v>
      </c>
      <c r="B17" s="17">
        <f>D17/D19</f>
        <v>9.156463549036345E-2</v>
      </c>
      <c r="C17" s="21"/>
      <c r="D17" s="24">
        <v>39156.6</v>
      </c>
    </row>
    <row r="18" spans="1:4" ht="40.5">
      <c r="A18" s="22" t="s">
        <v>48</v>
      </c>
      <c r="B18" s="17">
        <f>D18/D19</f>
        <v>0.36568937016721365</v>
      </c>
      <c r="C18" s="21"/>
      <c r="D18" s="24">
        <f>D19-D15-D16-D17</f>
        <v>156383.00000000012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427638.90000000014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D7" sqref="D7:D16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101" t="s">
        <v>91</v>
      </c>
      <c r="B2" s="101"/>
      <c r="C2" s="101"/>
      <c r="D2" s="101"/>
    </row>
    <row r="3" spans="1:11">
      <c r="A3" s="101"/>
      <c r="B3" s="101"/>
      <c r="C3" s="101"/>
      <c r="D3" s="101"/>
    </row>
    <row r="4" spans="1:11" ht="18">
      <c r="A4" s="9"/>
      <c r="B4" s="9"/>
      <c r="C4" s="9"/>
      <c r="D4" s="9"/>
    </row>
    <row r="5" spans="1:11" ht="12.75" customHeight="1">
      <c r="A5" s="102" t="s">
        <v>0</v>
      </c>
      <c r="B5" s="104" t="s">
        <v>14</v>
      </c>
      <c r="C5" s="104" t="s">
        <v>60</v>
      </c>
      <c r="D5" s="99" t="s">
        <v>92</v>
      </c>
      <c r="E5" s="3"/>
      <c r="F5" s="3"/>
      <c r="G5" s="3"/>
      <c r="H5" s="3"/>
      <c r="I5" s="3"/>
      <c r="J5" s="3"/>
      <c r="K5" s="3"/>
    </row>
    <row r="6" spans="1:11" ht="74.25" customHeight="1">
      <c r="A6" s="103"/>
      <c r="B6" s="105"/>
      <c r="C6" s="105"/>
      <c r="D6" s="100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83">
        <v>11149</v>
      </c>
      <c r="D7" s="59">
        <f>параметры!$B$5*'1 часть дотации'!C7/'1 часть дотации'!$C$17</f>
        <v>19417.936786536986</v>
      </c>
      <c r="G7" s="4"/>
    </row>
    <row r="8" spans="1:11" ht="18">
      <c r="A8" s="10">
        <v>2</v>
      </c>
      <c r="B8" s="10" t="s">
        <v>2</v>
      </c>
      <c r="C8" s="83">
        <v>2980</v>
      </c>
      <c r="D8" s="59">
        <f>параметры!$B$5*'1 часть дотации'!C8/'1 часть дотации'!$C$17</f>
        <v>5190.1920911185052</v>
      </c>
      <c r="G8" s="4"/>
    </row>
    <row r="9" spans="1:11" ht="18">
      <c r="A9" s="10">
        <v>3</v>
      </c>
      <c r="B9" s="10" t="s">
        <v>3</v>
      </c>
      <c r="C9" s="83">
        <v>1507</v>
      </c>
      <c r="D9" s="59">
        <f>параметры!$B$5*'1 часть дотации'!C9/'1 часть дотации'!$C$17</f>
        <v>2624.7045239314057</v>
      </c>
      <c r="G9" s="4"/>
    </row>
    <row r="10" spans="1:11" ht="18">
      <c r="A10" s="10">
        <v>4</v>
      </c>
      <c r="B10" s="10" t="s">
        <v>4</v>
      </c>
      <c r="C10" s="83">
        <v>2758</v>
      </c>
      <c r="D10" s="59">
        <f>параметры!$B$5*'1 часть дотации'!C10/'1 часть дотации'!$C$17</f>
        <v>4803.5401970821604</v>
      </c>
      <c r="G10" s="4"/>
    </row>
    <row r="11" spans="1:11" ht="18">
      <c r="A11" s="10">
        <v>5</v>
      </c>
      <c r="B11" s="10" t="s">
        <v>5</v>
      </c>
      <c r="C11" s="83">
        <v>4410</v>
      </c>
      <c r="D11" s="59">
        <f>параметры!$B$5*'1 часть дотации'!C11/'1 часть дотации'!$C$17</f>
        <v>7680.7876247760432</v>
      </c>
      <c r="G11" s="4"/>
    </row>
    <row r="12" spans="1:11" ht="18">
      <c r="A12" s="10">
        <v>6</v>
      </c>
      <c r="B12" s="10" t="s">
        <v>6</v>
      </c>
      <c r="C12" s="83">
        <v>2468</v>
      </c>
      <c r="D12" s="59">
        <f>параметры!$B$5*'1 часть дотации'!C12/'1 часть дотации'!$C$17</f>
        <v>4298.4543895572051</v>
      </c>
      <c r="G12" s="4"/>
    </row>
    <row r="13" spans="1:11" ht="18">
      <c r="A13" s="10">
        <v>7</v>
      </c>
      <c r="B13" s="10" t="s">
        <v>7</v>
      </c>
      <c r="C13" s="83">
        <v>2260</v>
      </c>
      <c r="D13" s="59">
        <f>параметры!$B$5*'1 часть дотации'!C13/'1 часть дотации'!$C$17</f>
        <v>3936.1859482979266</v>
      </c>
      <c r="G13" s="4"/>
    </row>
    <row r="14" spans="1:11" ht="18">
      <c r="A14" s="10">
        <v>8</v>
      </c>
      <c r="B14" s="10" t="s">
        <v>8</v>
      </c>
      <c r="C14" s="83">
        <v>1160</v>
      </c>
      <c r="D14" s="59">
        <f>параметры!$B$5*'1 часть дотации'!C14/'1 часть дотации'!$C$17</f>
        <v>2020.3432300998209</v>
      </c>
      <c r="G14" s="4"/>
    </row>
    <row r="15" spans="1:11" ht="18">
      <c r="A15" s="10">
        <v>9</v>
      </c>
      <c r="B15" s="10" t="s">
        <v>9</v>
      </c>
      <c r="C15" s="83">
        <v>577</v>
      </c>
      <c r="D15" s="59">
        <f>параметры!$B$5*'1 часть дотации'!C15/'1 часть дотации'!$C$17</f>
        <v>1004.9465894548247</v>
      </c>
      <c r="G15" s="4"/>
    </row>
    <row r="16" spans="1:11" ht="18">
      <c r="A16" s="10">
        <v>10</v>
      </c>
      <c r="B16" s="10" t="s">
        <v>10</v>
      </c>
      <c r="C16" s="83">
        <v>1987</v>
      </c>
      <c r="D16" s="59">
        <f>параметры!$B$5*'1 часть дотации'!C16/'1 часть дотации'!$C$17</f>
        <v>3460.7086191451244</v>
      </c>
      <c r="G16" s="4"/>
    </row>
    <row r="17" spans="1:7" ht="18">
      <c r="A17" s="10"/>
      <c r="B17" s="12" t="s">
        <v>11</v>
      </c>
      <c r="C17" s="84">
        <f>C7+C8+C9+C10+C11+C12+C13+C14+C15+C16</f>
        <v>31256</v>
      </c>
      <c r="D17" s="29">
        <f>D7+D8+D9+D10+D11+D12+D13+D14+D15+D16</f>
        <v>54437.8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61</v>
      </c>
      <c r="B19" s="57"/>
      <c r="C19" s="9"/>
      <c r="D19" s="9"/>
      <c r="G19" s="4"/>
    </row>
    <row r="20" spans="1:7" ht="18">
      <c r="A20" s="9" t="s">
        <v>34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J19" sqref="J19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6" spans="1:21">
      <c r="D6" s="1">
        <v>10101</v>
      </c>
      <c r="H6" s="1">
        <v>10601</v>
      </c>
    </row>
    <row r="7" spans="1:21" ht="18.75" customHeight="1">
      <c r="A7" s="111" t="s">
        <v>0</v>
      </c>
      <c r="B7" s="111" t="s">
        <v>14</v>
      </c>
      <c r="C7" s="111" t="s">
        <v>70</v>
      </c>
      <c r="D7" s="109" t="s">
        <v>62</v>
      </c>
      <c r="E7" s="109" t="s">
        <v>73</v>
      </c>
      <c r="F7" s="111" t="s">
        <v>37</v>
      </c>
      <c r="G7" s="109" t="s">
        <v>51</v>
      </c>
      <c r="H7" s="109" t="s">
        <v>75</v>
      </c>
      <c r="I7" s="111" t="s">
        <v>38</v>
      </c>
      <c r="J7" s="109" t="s">
        <v>52</v>
      </c>
      <c r="K7" s="109" t="s">
        <v>76</v>
      </c>
      <c r="L7" s="111" t="s">
        <v>39</v>
      </c>
      <c r="M7" s="111" t="s">
        <v>40</v>
      </c>
      <c r="N7" s="111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112"/>
      <c r="B8" s="112"/>
      <c r="C8" s="112"/>
      <c r="D8" s="109"/>
      <c r="E8" s="109"/>
      <c r="F8" s="112"/>
      <c r="G8" s="109"/>
      <c r="H8" s="109"/>
      <c r="I8" s="112"/>
      <c r="J8" s="109"/>
      <c r="K8" s="109"/>
      <c r="L8" s="112"/>
      <c r="M8" s="112"/>
      <c r="N8" s="112"/>
      <c r="O8" s="3"/>
      <c r="P8" s="3"/>
      <c r="Q8" s="3"/>
      <c r="R8" s="3"/>
      <c r="S8" s="3"/>
      <c r="T8" s="3"/>
      <c r="U8" s="3"/>
    </row>
    <row r="9" spans="1:21" ht="66.75" customHeight="1">
      <c r="A9" s="113"/>
      <c r="B9" s="113"/>
      <c r="C9" s="113"/>
      <c r="D9" s="32" t="s">
        <v>36</v>
      </c>
      <c r="E9" s="50" t="s">
        <v>35</v>
      </c>
      <c r="F9" s="114"/>
      <c r="G9" s="50" t="s">
        <v>36</v>
      </c>
      <c r="H9" s="50" t="s">
        <v>36</v>
      </c>
      <c r="I9" s="114"/>
      <c r="J9" s="51" t="s">
        <v>36</v>
      </c>
      <c r="K9" s="51" t="s">
        <v>36</v>
      </c>
      <c r="L9" s="114"/>
      <c r="M9" s="113"/>
      <c r="N9" s="114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85">
        <v>11149</v>
      </c>
      <c r="D10" s="23">
        <v>352772159</v>
      </c>
      <c r="E10" s="26">
        <v>34432.6</v>
      </c>
      <c r="F10" s="23">
        <f>($E$10/0.1+$E$11/0.1+$E$12/0.1+$E$13/0.1+$E$14/0.1+$E$15/0.1+$E$16/0.1+$E$17/0.1+$E$18/0.1+$E$19/0.1)*0.1*(D10/$D$20)</f>
        <v>37719.338209925576</v>
      </c>
      <c r="G10" s="26">
        <v>2318</v>
      </c>
      <c r="H10" s="26">
        <v>2453</v>
      </c>
      <c r="I10" s="23">
        <f>$H$20*1*(G10/$G$20)</f>
        <v>2527.6203699136868</v>
      </c>
      <c r="J10" s="26">
        <v>15340</v>
      </c>
      <c r="K10" s="26">
        <v>7661.9</v>
      </c>
      <c r="L10" s="26">
        <f>$K$20*1*(J10/$J$20)</f>
        <v>7060.193088315963</v>
      </c>
      <c r="M10" s="26">
        <f>F10+I10+L10</f>
        <v>47307.151668155231</v>
      </c>
      <c r="N10" s="18">
        <f>(M10/C10)/($M$20/$C$20)</f>
        <v>1.5855564236992783</v>
      </c>
    </row>
    <row r="11" spans="1:21" ht="20.25">
      <c r="A11" s="15">
        <v>2</v>
      </c>
      <c r="B11" s="16" t="s">
        <v>2</v>
      </c>
      <c r="C11" s="85">
        <v>2980</v>
      </c>
      <c r="D11" s="23">
        <v>45200469</v>
      </c>
      <c r="E11" s="26">
        <v>4473</v>
      </c>
      <c r="F11" s="23">
        <f t="shared" ref="F11:F19" si="0">($E$10/0.1+$E$11/0.1+$E$12/0.1+$E$13/0.1+$E$14/0.1+$E$15/0.1+$E$16/0.1+$E$17/0.1+$E$18/0.1+$E$19/0.1)*0.1*(D11/$D$20)</f>
        <v>4832.9544550545343</v>
      </c>
      <c r="G11" s="26">
        <v>271</v>
      </c>
      <c r="H11" s="26">
        <v>322</v>
      </c>
      <c r="I11" s="23">
        <f t="shared" ref="I11:I18" si="1">$H$20*1*(G11/$G$20)</f>
        <v>295.50695437731196</v>
      </c>
      <c r="J11" s="26">
        <v>1198</v>
      </c>
      <c r="K11" s="26">
        <v>738</v>
      </c>
      <c r="L11" s="26">
        <f t="shared" ref="L11:L19" si="2">$K$20*1*(J11/$J$20)</f>
        <v>551.37622684501457</v>
      </c>
      <c r="M11" s="26">
        <f t="shared" ref="M11:M19" si="3">F11+I11+L11</f>
        <v>5679.8376362768604</v>
      </c>
      <c r="N11" s="18">
        <f t="shared" ref="N11:N20" si="4">(M11/C11)/($M$20/$C$20)</f>
        <v>0.71221394652732695</v>
      </c>
    </row>
    <row r="12" spans="1:21" ht="20.25">
      <c r="A12" s="15">
        <v>3</v>
      </c>
      <c r="B12" s="16" t="s">
        <v>3</v>
      </c>
      <c r="C12" s="85">
        <v>1507</v>
      </c>
      <c r="D12" s="23">
        <v>19760513</v>
      </c>
      <c r="E12" s="26">
        <v>1739</v>
      </c>
      <c r="F12" s="23">
        <f t="shared" si="0"/>
        <v>2112.8466462928304</v>
      </c>
      <c r="G12" s="26">
        <v>91</v>
      </c>
      <c r="H12" s="26">
        <v>142.69999999999999</v>
      </c>
      <c r="I12" s="23">
        <f t="shared" si="1"/>
        <v>99.229272503082598</v>
      </c>
      <c r="J12" s="26">
        <v>1033</v>
      </c>
      <c r="K12" s="26">
        <v>255</v>
      </c>
      <c r="L12" s="26">
        <f t="shared" si="2"/>
        <v>475.43542765517526</v>
      </c>
      <c r="M12" s="26">
        <f t="shared" si="3"/>
        <v>2687.5113464510882</v>
      </c>
      <c r="N12" s="18">
        <f t="shared" si="4"/>
        <v>0.66638907859922658</v>
      </c>
    </row>
    <row r="13" spans="1:21" ht="20.25">
      <c r="A13" s="15">
        <v>4</v>
      </c>
      <c r="B13" s="16" t="s">
        <v>4</v>
      </c>
      <c r="C13" s="85">
        <v>2758</v>
      </c>
      <c r="D13" s="23">
        <v>34711779</v>
      </c>
      <c r="E13" s="26">
        <v>3137</v>
      </c>
      <c r="F13" s="23">
        <f t="shared" si="0"/>
        <v>3711.4758026275881</v>
      </c>
      <c r="G13" s="26">
        <v>136</v>
      </c>
      <c r="H13" s="26">
        <v>141</v>
      </c>
      <c r="I13" s="23">
        <f t="shared" si="1"/>
        <v>148.29869297163992</v>
      </c>
      <c r="J13" s="26">
        <v>788</v>
      </c>
      <c r="K13" s="26">
        <v>640</v>
      </c>
      <c r="L13" s="26">
        <f t="shared" si="2"/>
        <v>362.67484703995945</v>
      </c>
      <c r="M13" s="26">
        <f t="shared" si="3"/>
        <v>4222.4493426391873</v>
      </c>
      <c r="N13" s="18">
        <f t="shared" si="4"/>
        <v>0.57208558228994755</v>
      </c>
    </row>
    <row r="14" spans="1:21" ht="20.25">
      <c r="A14" s="15">
        <v>5</v>
      </c>
      <c r="B14" s="16" t="s">
        <v>5</v>
      </c>
      <c r="C14" s="85">
        <v>4410</v>
      </c>
      <c r="D14" s="23">
        <v>56563473</v>
      </c>
      <c r="E14" s="26">
        <v>5877</v>
      </c>
      <c r="F14" s="23">
        <f t="shared" si="0"/>
        <v>6047.9170875131149</v>
      </c>
      <c r="G14" s="26">
        <v>500</v>
      </c>
      <c r="H14" s="26">
        <v>514</v>
      </c>
      <c r="I14" s="23">
        <f t="shared" si="1"/>
        <v>545.21578298397037</v>
      </c>
      <c r="J14" s="26">
        <v>2509</v>
      </c>
      <c r="K14" s="26">
        <v>880</v>
      </c>
      <c r="L14" s="26">
        <f t="shared" si="2"/>
        <v>1154.7603949533736</v>
      </c>
      <c r="M14" s="26">
        <f t="shared" si="3"/>
        <v>7747.8932654504588</v>
      </c>
      <c r="N14" s="18">
        <f t="shared" si="4"/>
        <v>0.65650170218801063</v>
      </c>
    </row>
    <row r="15" spans="1:21" ht="20.25">
      <c r="A15" s="15">
        <v>6</v>
      </c>
      <c r="B15" s="16" t="s">
        <v>6</v>
      </c>
      <c r="C15" s="85">
        <v>2468</v>
      </c>
      <c r="D15" s="23">
        <v>31394904</v>
      </c>
      <c r="E15" s="26">
        <v>3470</v>
      </c>
      <c r="F15" s="23">
        <f t="shared" si="0"/>
        <v>3356.8266991391042</v>
      </c>
      <c r="G15" s="26">
        <v>207</v>
      </c>
      <c r="H15" s="26">
        <v>300</v>
      </c>
      <c r="I15" s="23">
        <f t="shared" si="1"/>
        <v>225.71933415536375</v>
      </c>
      <c r="J15" s="26">
        <v>916</v>
      </c>
      <c r="K15" s="26">
        <v>192</v>
      </c>
      <c r="L15" s="26">
        <f t="shared" si="2"/>
        <v>421.58649732056199</v>
      </c>
      <c r="M15" s="26">
        <f t="shared" si="3"/>
        <v>4004.1325306150302</v>
      </c>
      <c r="N15" s="18">
        <f t="shared" si="4"/>
        <v>0.60625328496875364</v>
      </c>
    </row>
    <row r="16" spans="1:21" ht="20.25">
      <c r="A16" s="15">
        <v>7</v>
      </c>
      <c r="B16" s="16" t="s">
        <v>7</v>
      </c>
      <c r="C16" s="85">
        <v>2260</v>
      </c>
      <c r="D16" s="23">
        <v>39351428</v>
      </c>
      <c r="E16" s="26">
        <v>3827.8</v>
      </c>
      <c r="F16" s="23">
        <f t="shared" si="0"/>
        <v>4207.5594230085917</v>
      </c>
      <c r="G16" s="26">
        <v>186</v>
      </c>
      <c r="H16" s="26">
        <v>202</v>
      </c>
      <c r="I16" s="23">
        <f t="shared" si="1"/>
        <v>202.82027127003698</v>
      </c>
      <c r="J16" s="26">
        <v>1238</v>
      </c>
      <c r="K16" s="26">
        <v>196.5</v>
      </c>
      <c r="L16" s="26">
        <f t="shared" si="2"/>
        <v>569.78611755770282</v>
      </c>
      <c r="M16" s="26">
        <f t="shared" si="3"/>
        <v>4980.1658118363312</v>
      </c>
      <c r="N16" s="18">
        <f t="shared" si="4"/>
        <v>0.82342904161412955</v>
      </c>
    </row>
    <row r="17" spans="1:14" ht="20.25">
      <c r="A17" s="15">
        <v>8</v>
      </c>
      <c r="B17" s="16" t="s">
        <v>8</v>
      </c>
      <c r="C17" s="85">
        <v>1160</v>
      </c>
      <c r="D17" s="23">
        <v>9534277</v>
      </c>
      <c r="E17" s="26">
        <v>1100</v>
      </c>
      <c r="F17" s="23">
        <f t="shared" si="0"/>
        <v>1019.4302741167129</v>
      </c>
      <c r="G17" s="26">
        <v>84</v>
      </c>
      <c r="H17" s="26">
        <v>85</v>
      </c>
      <c r="I17" s="23">
        <f t="shared" si="1"/>
        <v>91.596251541307026</v>
      </c>
      <c r="J17" s="26">
        <v>188</v>
      </c>
      <c r="K17" s="26">
        <v>47</v>
      </c>
      <c r="L17" s="26">
        <f t="shared" si="2"/>
        <v>86.526486349635007</v>
      </c>
      <c r="M17" s="26">
        <f t="shared" si="3"/>
        <v>1197.5530120076548</v>
      </c>
      <c r="N17" s="18">
        <f t="shared" si="4"/>
        <v>0.38576922170217187</v>
      </c>
    </row>
    <row r="18" spans="1:14" ht="20.25">
      <c r="A18" s="15">
        <v>9</v>
      </c>
      <c r="B18" s="16" t="s">
        <v>9</v>
      </c>
      <c r="C18" s="85">
        <v>577</v>
      </c>
      <c r="D18" s="23">
        <v>8050003</v>
      </c>
      <c r="E18" s="26">
        <v>761</v>
      </c>
      <c r="F18" s="23">
        <f t="shared" si="0"/>
        <v>860.72774736147903</v>
      </c>
      <c r="G18" s="26">
        <v>41</v>
      </c>
      <c r="H18" s="26">
        <v>40</v>
      </c>
      <c r="I18" s="23">
        <f t="shared" si="1"/>
        <v>44.707694204685573</v>
      </c>
      <c r="J18" s="26">
        <v>100</v>
      </c>
      <c r="K18" s="26">
        <v>39</v>
      </c>
      <c r="L18" s="26">
        <f t="shared" si="2"/>
        <v>46.024726781720744</v>
      </c>
      <c r="M18" s="26">
        <f t="shared" si="3"/>
        <v>951.46016834788543</v>
      </c>
      <c r="N18" s="18">
        <f t="shared" si="4"/>
        <v>0.61617718719364967</v>
      </c>
    </row>
    <row r="19" spans="1:14" ht="20.25">
      <c r="A19" s="15">
        <v>10</v>
      </c>
      <c r="B19" s="16" t="s">
        <v>10</v>
      </c>
      <c r="C19" s="85">
        <v>1987</v>
      </c>
      <c r="D19" s="23">
        <v>41593836</v>
      </c>
      <c r="E19" s="26">
        <v>9499</v>
      </c>
      <c r="F19" s="23">
        <f t="shared" si="0"/>
        <v>4447.3236549604753</v>
      </c>
      <c r="G19" s="26">
        <v>221</v>
      </c>
      <c r="H19" s="26">
        <v>222</v>
      </c>
      <c r="I19" s="23">
        <f>$H$20*1*(G19/$G$20)</f>
        <v>240.98537607891492</v>
      </c>
      <c r="J19" s="26">
        <v>389</v>
      </c>
      <c r="K19" s="26">
        <v>258</v>
      </c>
      <c r="L19" s="26">
        <f t="shared" si="2"/>
        <v>179.03618718089371</v>
      </c>
      <c r="M19" s="26">
        <f t="shared" si="3"/>
        <v>4867.3452182202836</v>
      </c>
      <c r="N19" s="18">
        <f t="shared" si="4"/>
        <v>0.91534560238319485</v>
      </c>
    </row>
    <row r="20" spans="1:14" ht="18">
      <c r="A20" s="2"/>
      <c r="B20" s="5" t="s">
        <v>11</v>
      </c>
      <c r="C20" s="84">
        <f t="shared" ref="C20:M20" si="5">C10+C11+C12+C13+C14+C15+C16+C17+C18+C19</f>
        <v>31256</v>
      </c>
      <c r="D20" s="29">
        <f t="shared" si="5"/>
        <v>638932841</v>
      </c>
      <c r="E20" s="14">
        <f t="shared" si="5"/>
        <v>68316.399999999994</v>
      </c>
      <c r="F20" s="29">
        <f t="shared" si="5"/>
        <v>68316.400000000009</v>
      </c>
      <c r="G20" s="14">
        <f t="shared" si="5"/>
        <v>4055</v>
      </c>
      <c r="H20" s="14">
        <f t="shared" si="5"/>
        <v>4421.7</v>
      </c>
      <c r="I20" s="29">
        <f t="shared" si="5"/>
        <v>4421.6999999999989</v>
      </c>
      <c r="J20" s="14">
        <f t="shared" si="5"/>
        <v>23699</v>
      </c>
      <c r="K20" s="14">
        <f t="shared" si="5"/>
        <v>10907.4</v>
      </c>
      <c r="L20" s="14">
        <f t="shared" si="5"/>
        <v>10907.400000000003</v>
      </c>
      <c r="M20" s="14">
        <f t="shared" si="5"/>
        <v>83645.5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2"/>
      <c r="K21" s="8"/>
    </row>
    <row r="27" spans="1:14">
      <c r="A27" s="106" t="s">
        <v>31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07"/>
      <c r="L27" s="107"/>
      <c r="M27" s="107"/>
    </row>
    <row r="28" spans="1:14">
      <c r="A28" s="106"/>
      <c r="B28" s="106"/>
      <c r="C28" s="106"/>
      <c r="D28" s="106"/>
      <c r="E28" s="106"/>
      <c r="F28" s="106"/>
      <c r="G28" s="106"/>
      <c r="H28" s="106"/>
      <c r="I28" s="106"/>
      <c r="J28" s="107"/>
      <c r="K28" s="107"/>
      <c r="L28" s="107"/>
      <c r="M28" s="107"/>
    </row>
    <row r="29" spans="1:14" ht="24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7"/>
      <c r="K29" s="107"/>
      <c r="L29" s="107"/>
      <c r="M29" s="107"/>
    </row>
    <row r="30" spans="1:14">
      <c r="A30" s="106" t="s">
        <v>32</v>
      </c>
      <c r="B30" s="106"/>
      <c r="C30" s="106"/>
      <c r="D30" s="106"/>
      <c r="E30" s="106"/>
      <c r="F30" s="106"/>
      <c r="G30" s="106"/>
      <c r="H30" s="106"/>
      <c r="I30" s="106"/>
      <c r="J30" s="107"/>
      <c r="K30" s="107"/>
      <c r="L30" s="107"/>
      <c r="M30" s="107"/>
    </row>
    <row r="31" spans="1:14">
      <c r="A31" s="106"/>
      <c r="B31" s="106"/>
      <c r="C31" s="106"/>
      <c r="D31" s="106"/>
      <c r="E31" s="106"/>
      <c r="F31" s="106"/>
      <c r="G31" s="106"/>
      <c r="H31" s="106"/>
      <c r="I31" s="106"/>
      <c r="J31" s="107"/>
      <c r="K31" s="107"/>
      <c r="L31" s="107"/>
      <c r="M31" s="107"/>
    </row>
    <row r="32" spans="1:14">
      <c r="A32" s="106"/>
      <c r="B32" s="106"/>
      <c r="C32" s="106"/>
      <c r="D32" s="106"/>
      <c r="E32" s="106"/>
      <c r="F32" s="106"/>
      <c r="G32" s="106"/>
      <c r="H32" s="106"/>
      <c r="I32" s="106"/>
      <c r="J32" s="107"/>
      <c r="K32" s="107"/>
      <c r="L32" s="107"/>
      <c r="M32" s="107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108" t="s">
        <v>12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1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C1" zoomScale="80" zoomScaleNormal="80" workbookViewId="0">
      <selection activeCell="M7" sqref="M7:M16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7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26" t="s">
        <v>81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  <c r="S2" s="128"/>
      <c r="T2" s="128"/>
      <c r="U2" s="128"/>
    </row>
    <row r="3" spans="1:21" ht="18">
      <c r="A3" s="126"/>
      <c r="B3" s="126"/>
      <c r="C3" s="126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28"/>
      <c r="T3" s="128"/>
      <c r="U3" s="128"/>
    </row>
    <row r="5" spans="1:21" s="20" customFormat="1" ht="162.75" customHeight="1">
      <c r="A5" s="124" t="s">
        <v>0</v>
      </c>
      <c r="B5" s="122" t="s">
        <v>14</v>
      </c>
      <c r="C5" s="115" t="s">
        <v>64</v>
      </c>
      <c r="D5" s="119" t="s">
        <v>65</v>
      </c>
      <c r="E5" s="119" t="s">
        <v>66</v>
      </c>
      <c r="F5" s="119" t="s">
        <v>16</v>
      </c>
      <c r="G5" s="120" t="s">
        <v>17</v>
      </c>
      <c r="H5" s="119" t="s">
        <v>53</v>
      </c>
      <c r="I5" s="119" t="s">
        <v>54</v>
      </c>
      <c r="J5" s="119" t="s">
        <v>69</v>
      </c>
      <c r="K5" s="119" t="s">
        <v>18</v>
      </c>
      <c r="L5" s="120" t="s">
        <v>25</v>
      </c>
      <c r="M5" s="120" t="s">
        <v>21</v>
      </c>
      <c r="N5" s="119" t="s">
        <v>22</v>
      </c>
      <c r="O5" s="120" t="s">
        <v>68</v>
      </c>
      <c r="P5" s="119" t="s">
        <v>23</v>
      </c>
      <c r="Q5" s="119" t="s">
        <v>24</v>
      </c>
      <c r="R5" s="115" t="s">
        <v>67</v>
      </c>
      <c r="S5" s="115" t="s">
        <v>41</v>
      </c>
      <c r="T5" s="120" t="s">
        <v>27</v>
      </c>
      <c r="U5" s="119" t="s">
        <v>26</v>
      </c>
    </row>
    <row r="6" spans="1:21" s="20" customFormat="1" ht="189" customHeight="1">
      <c r="A6" s="125"/>
      <c r="B6" s="123"/>
      <c r="C6" s="116"/>
      <c r="D6" s="119"/>
      <c r="E6" s="119"/>
      <c r="F6" s="119"/>
      <c r="G6" s="120"/>
      <c r="H6" s="119"/>
      <c r="I6" s="119"/>
      <c r="J6" s="119"/>
      <c r="K6" s="119"/>
      <c r="L6" s="120"/>
      <c r="M6" s="120"/>
      <c r="N6" s="119"/>
      <c r="O6" s="120"/>
      <c r="P6" s="119"/>
      <c r="Q6" s="119"/>
      <c r="R6" s="116"/>
      <c r="S6" s="121"/>
      <c r="T6" s="120"/>
      <c r="U6" s="119"/>
    </row>
    <row r="7" spans="1:21" ht="25.5">
      <c r="A7" s="37">
        <v>1</v>
      </c>
      <c r="B7" s="47" t="s">
        <v>50</v>
      </c>
      <c r="C7" s="52">
        <v>11149</v>
      </c>
      <c r="D7" s="52"/>
      <c r="E7" s="39"/>
      <c r="F7" s="40">
        <f>D7/C7</f>
        <v>0</v>
      </c>
      <c r="G7" s="41">
        <f>(1+0.25*F7)/(1+0.25*$F$17)</f>
        <v>0.93018964786060243</v>
      </c>
      <c r="H7" s="56">
        <f>94.3+162.78</f>
        <v>257.08</v>
      </c>
      <c r="I7" s="56">
        <v>4583.78</v>
      </c>
      <c r="J7" s="56">
        <v>6915.97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1.1218920118770148</v>
      </c>
      <c r="L7" s="41">
        <f>параметры!$B$9*ИБР!G7+параметры!$B$10*ИБР!K7+1-параметры!$B$9-параметры!$B$10</f>
        <v>0.96765583690673229</v>
      </c>
      <c r="M7" s="88">
        <v>0.8</v>
      </c>
      <c r="N7" s="41">
        <f>M7+(1-M7)*(AVERAGE($C$7:$C$16))/C7</f>
        <v>0.85606960265494669</v>
      </c>
      <c r="O7" s="56">
        <v>319.60000000000002</v>
      </c>
      <c r="P7" s="41">
        <f>(O7/C7)/($O$17/$C$17)</f>
        <v>1.041912030264605</v>
      </c>
      <c r="Q7" s="41">
        <f>(1+E7/C7)/(1+$E$17/$C$17)</f>
        <v>0.92811117379814112</v>
      </c>
      <c r="R7" s="86">
        <v>78.900000000000006</v>
      </c>
      <c r="S7" s="41">
        <f>(R7/C7)/($R$17/$C$17)</f>
        <v>0.65210667002878675</v>
      </c>
      <c r="T7" s="41">
        <f>параметры!$B$15*ИБР!N7+параметры!$B$16*ИБР!P7+параметры!$B$18*ИБР!Q7+параметры!$B$17*ИБР!S7</f>
        <v>0.86787982785568185</v>
      </c>
      <c r="U7" s="41">
        <f>L7*T7*$C$17/SUMPRODUCT($L$7:$L$16,$T$7:$T$16,$C$7:$C$16)</f>
        <v>0.83530866020644834</v>
      </c>
    </row>
    <row r="8" spans="1:21" ht="25.5">
      <c r="A8" s="37">
        <v>2</v>
      </c>
      <c r="B8" s="47" t="s">
        <v>2</v>
      </c>
      <c r="C8" s="52">
        <v>2980</v>
      </c>
      <c r="D8" s="52">
        <v>27</v>
      </c>
      <c r="E8" s="39">
        <v>27</v>
      </c>
      <c r="F8" s="40">
        <f t="shared" ref="F8:F17" si="0">D8/C8</f>
        <v>9.0604026845637585E-3</v>
      </c>
      <c r="G8" s="41">
        <f t="shared" ref="G8:G17" si="1">(1+0.25*F8)/(1+0.25*$F$17)</f>
        <v>0.93229662105625988</v>
      </c>
      <c r="H8" s="56">
        <v>92.07</v>
      </c>
      <c r="I8" s="56">
        <v>3949.48</v>
      </c>
      <c r="J8" s="56">
        <v>6915.97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0.83073643003006525</v>
      </c>
      <c r="L8" s="41">
        <f>параметры!$B$9*ИБР!G8+параметры!$B$10*ИБР!K8+1-параметры!$B$9-параметры!$B$10</f>
        <v>0.94725097716285589</v>
      </c>
      <c r="M8" s="88">
        <f>$M$7</f>
        <v>0.8</v>
      </c>
      <c r="N8" s="41">
        <f t="shared" ref="N8:N16" si="3">M8+(1-M8)*(AVERAGE($C$7:$C$16))/C8</f>
        <v>1.009771812080537</v>
      </c>
      <c r="O8" s="56">
        <v>100.42</v>
      </c>
      <c r="P8" s="41">
        <f t="shared" ref="P8:P17" si="4">(O8/C8)/($O$17/$C$17)</f>
        <v>1.2247971026878026</v>
      </c>
      <c r="Q8" s="41">
        <f t="shared" ref="Q8:Q17" si="5">(1+E8/C8)/(1+$E$17/$C$17)</f>
        <v>0.93652023476879542</v>
      </c>
      <c r="R8" s="86">
        <v>38.799999999999997</v>
      </c>
      <c r="S8" s="41">
        <f t="shared" ref="S8:S17" si="6">(R8/C8)/($R$17/$C$17)</f>
        <v>1.1997562365455234</v>
      </c>
      <c r="T8" s="41">
        <f>параметры!$B$15*ИБР!N8+параметры!$B$16*ИБР!P8+параметры!$B$18*ИБР!Q8+параметры!$B$17*ИБР!S8</f>
        <v>1.0051718135760004</v>
      </c>
      <c r="U8" s="41">
        <f t="shared" ref="U8:U16" si="7">L8*T8*$C$17/SUMPRODUCT($L$7:$L$16,$T$7:$T$16,$C$7:$C$16)</f>
        <v>0.94704765505893984</v>
      </c>
    </row>
    <row r="9" spans="1:21" ht="25.5">
      <c r="A9" s="37">
        <v>3</v>
      </c>
      <c r="B9" s="47" t="s">
        <v>3</v>
      </c>
      <c r="C9" s="52">
        <v>1507</v>
      </c>
      <c r="D9" s="52"/>
      <c r="E9" s="39"/>
      <c r="F9" s="40">
        <f t="shared" si="0"/>
        <v>0</v>
      </c>
      <c r="G9" s="41">
        <f t="shared" si="1"/>
        <v>0.93018964786060243</v>
      </c>
      <c r="H9" s="56">
        <v>70.31</v>
      </c>
      <c r="I9" s="56">
        <v>7229.4</v>
      </c>
      <c r="J9" s="56">
        <v>6915.97</v>
      </c>
      <c r="K9" s="41">
        <f t="shared" si="2"/>
        <v>1.2771819048459321</v>
      </c>
      <c r="L9" s="41">
        <f>параметры!$B$9*ИБР!G9+параметры!$B$10*ИБР!K9+1-параметры!$B$9-параметры!$B$10</f>
        <v>0.97920550701347953</v>
      </c>
      <c r="M9" s="88">
        <f t="shared" ref="M9:M16" si="8">$M$7</f>
        <v>0.8</v>
      </c>
      <c r="N9" s="41">
        <f t="shared" si="3"/>
        <v>1.2148108825481088</v>
      </c>
      <c r="O9" s="56">
        <v>42.56</v>
      </c>
      <c r="P9" s="41">
        <f t="shared" si="4"/>
        <v>1.0264754439936921</v>
      </c>
      <c r="Q9" s="41">
        <f t="shared" si="5"/>
        <v>0.92811117379814112</v>
      </c>
      <c r="R9" s="86">
        <v>18.5</v>
      </c>
      <c r="S9" s="41">
        <f t="shared" si="6"/>
        <v>1.131191233363799</v>
      </c>
      <c r="T9" s="41">
        <f>параметры!$B$15*ИБР!N9+параметры!$B$16*ИБР!P9+параметры!$B$18*ИБР!Q9+параметры!$B$17*ИБР!S9</f>
        <v>1.0981145114514446</v>
      </c>
      <c r="U9" s="41">
        <f t="shared" si="7"/>
        <v>1.0695176283874326</v>
      </c>
    </row>
    <row r="10" spans="1:21" ht="25.5">
      <c r="A10" s="37">
        <v>4</v>
      </c>
      <c r="B10" s="47" t="s">
        <v>4</v>
      </c>
      <c r="C10" s="52">
        <v>2758</v>
      </c>
      <c r="D10" s="52"/>
      <c r="E10" s="39"/>
      <c r="F10" s="40">
        <f t="shared" si="0"/>
        <v>0</v>
      </c>
      <c r="G10" s="41">
        <f t="shared" si="1"/>
        <v>0.93018964786060243</v>
      </c>
      <c r="H10" s="56">
        <v>0</v>
      </c>
      <c r="I10" s="56">
        <v>0</v>
      </c>
      <c r="J10" s="56">
        <v>6915.97</v>
      </c>
      <c r="K10" s="41">
        <f t="shared" si="2"/>
        <v>0.15000000000000002</v>
      </c>
      <c r="L10" s="41">
        <f>параметры!$B$9*ИБР!G10+параметры!$B$10*ИБР!K10+1-параметры!$B$9-параметры!$B$10</f>
        <v>0.89537146667531609</v>
      </c>
      <c r="M10" s="88">
        <f t="shared" si="8"/>
        <v>0.8</v>
      </c>
      <c r="N10" s="41">
        <f t="shared" si="3"/>
        <v>1.0266569978245106</v>
      </c>
      <c r="O10" s="56">
        <v>60.99</v>
      </c>
      <c r="P10" s="41">
        <f t="shared" si="4"/>
        <v>0.80375663104348483</v>
      </c>
      <c r="Q10" s="41">
        <f t="shared" si="5"/>
        <v>0.92811117379814112</v>
      </c>
      <c r="R10" s="86">
        <v>28.1</v>
      </c>
      <c r="S10" s="41">
        <f t="shared" si="6"/>
        <v>0.93883573686154842</v>
      </c>
      <c r="T10" s="41">
        <f>параметры!$B$15*ИБР!N10+параметры!$B$16*ИБР!P10+параметры!$B$18*ИБР!Q10+параметры!$B$17*ИБР!S10</f>
        <v>0.97761156308770847</v>
      </c>
      <c r="U10" s="41">
        <f t="shared" si="7"/>
        <v>0.87063485421793574</v>
      </c>
    </row>
    <row r="11" spans="1:21" ht="25.5">
      <c r="A11" s="37">
        <v>5</v>
      </c>
      <c r="B11" s="47" t="s">
        <v>5</v>
      </c>
      <c r="C11" s="52">
        <v>4410</v>
      </c>
      <c r="D11" s="52">
        <v>904</v>
      </c>
      <c r="E11" s="39">
        <v>904</v>
      </c>
      <c r="F11" s="40">
        <f t="shared" si="0"/>
        <v>0.20498866213151928</v>
      </c>
      <c r="G11" s="41">
        <f t="shared" si="1"/>
        <v>0.97785923072148606</v>
      </c>
      <c r="H11" s="56">
        <f>101.76+176.5</f>
        <v>278.26</v>
      </c>
      <c r="I11" s="56">
        <v>4922.24</v>
      </c>
      <c r="J11" s="56">
        <v>6915.97</v>
      </c>
      <c r="K11" s="41">
        <f t="shared" si="2"/>
        <v>1.1963150668450471</v>
      </c>
      <c r="L11" s="41">
        <f>параметры!$B$9*ИБР!G11+параметры!$B$10*ИБР!K11+1-параметры!$B$9-параметры!$B$10</f>
        <v>1.0014675264451032</v>
      </c>
      <c r="M11" s="88">
        <f t="shared" si="8"/>
        <v>0.8</v>
      </c>
      <c r="N11" s="41">
        <f t="shared" si="3"/>
        <v>0.94175056689342407</v>
      </c>
      <c r="O11" s="56">
        <v>104.6</v>
      </c>
      <c r="P11" s="41">
        <f t="shared" si="4"/>
        <v>0.86209135979139206</v>
      </c>
      <c r="Q11" s="41">
        <f t="shared" si="5"/>
        <v>1.1183634416243362</v>
      </c>
      <c r="R11" s="86">
        <v>61.2</v>
      </c>
      <c r="S11" s="41">
        <f t="shared" si="6"/>
        <v>1.2787639584135539</v>
      </c>
      <c r="T11" s="41">
        <f>параметры!$B$15*ИБР!N11+параметры!$B$16*ИБР!P11+параметры!$B$18*ИБР!Q11+параметры!$B$17*ИБР!S11</f>
        <v>1.0354194572565893</v>
      </c>
      <c r="U11" s="41">
        <f t="shared" si="7"/>
        <v>1.0313822727253033</v>
      </c>
    </row>
    <row r="12" spans="1:21" ht="25.5">
      <c r="A12" s="37">
        <v>6</v>
      </c>
      <c r="B12" s="47" t="s">
        <v>6</v>
      </c>
      <c r="C12" s="52">
        <v>2468</v>
      </c>
      <c r="D12" s="52">
        <v>2468</v>
      </c>
      <c r="E12" s="39">
        <v>128</v>
      </c>
      <c r="F12" s="40">
        <f t="shared" si="0"/>
        <v>1</v>
      </c>
      <c r="G12" s="41">
        <f t="shared" si="1"/>
        <v>1.1627370598257531</v>
      </c>
      <c r="H12" s="56">
        <v>82.7</v>
      </c>
      <c r="I12" s="56">
        <v>7525.54</v>
      </c>
      <c r="J12" s="56">
        <v>6915.97</v>
      </c>
      <c r="K12" s="41">
        <f t="shared" si="2"/>
        <v>1.3348655262501188</v>
      </c>
      <c r="L12" s="41">
        <f>параметры!$B$9*ИБР!G12+параметры!$B$10*ИБР!K12+1-параметры!$B$9-параметры!$B$10</f>
        <v>1.1214374098268991</v>
      </c>
      <c r="M12" s="88">
        <f t="shared" si="8"/>
        <v>0.8</v>
      </c>
      <c r="N12" s="41">
        <f t="shared" si="3"/>
        <v>1.0532901134521879</v>
      </c>
      <c r="O12" s="56">
        <v>63.9</v>
      </c>
      <c r="P12" s="41">
        <f t="shared" si="4"/>
        <v>0.94105693642623478</v>
      </c>
      <c r="Q12" s="41">
        <f t="shared" si="5"/>
        <v>0.9762465993435876</v>
      </c>
      <c r="R12" s="86">
        <v>34.700000000000003</v>
      </c>
      <c r="S12" s="41">
        <f t="shared" si="6"/>
        <v>1.2955729564845111</v>
      </c>
      <c r="T12" s="41">
        <f>параметры!$B$15*ИБР!N12+параметры!$B$16*ИБР!P12+параметры!$B$18*ИБР!Q12+параметры!$B$17*ИБР!S12</f>
        <v>1.0447997355050893</v>
      </c>
      <c r="U12" s="41">
        <f t="shared" si="7"/>
        <v>1.1653987898906741</v>
      </c>
    </row>
    <row r="13" spans="1:21" ht="25.5">
      <c r="A13" s="37">
        <v>7</v>
      </c>
      <c r="B13" s="47" t="s">
        <v>7</v>
      </c>
      <c r="C13" s="52">
        <v>2260</v>
      </c>
      <c r="D13" s="52">
        <v>2260</v>
      </c>
      <c r="E13" s="39">
        <v>875</v>
      </c>
      <c r="F13" s="40">
        <f t="shared" si="0"/>
        <v>1</v>
      </c>
      <c r="G13" s="41">
        <f t="shared" si="1"/>
        <v>1.1627370598257531</v>
      </c>
      <c r="H13" s="56">
        <f>60.56+76.65</f>
        <v>137.21</v>
      </c>
      <c r="I13" s="56">
        <v>3421.19</v>
      </c>
      <c r="J13" s="56">
        <v>6915.97</v>
      </c>
      <c r="K13" s="41">
        <f t="shared" si="2"/>
        <v>0.80922267510743318</v>
      </c>
      <c r="L13" s="41">
        <f>параметры!$B$9*ИБР!G13+параметры!$B$10*ИБР!K13+1-параметры!$B$9-параметры!$B$10</f>
        <v>1.0823427758581377</v>
      </c>
      <c r="M13" s="88">
        <f t="shared" si="8"/>
        <v>0.8</v>
      </c>
      <c r="N13" s="41">
        <f t="shared" si="3"/>
        <v>1.0766017699115045</v>
      </c>
      <c r="O13" s="56">
        <v>62.8</v>
      </c>
      <c r="P13" s="41">
        <f t="shared" si="4"/>
        <v>1.009976809723965</v>
      </c>
      <c r="Q13" s="41">
        <f t="shared" si="5"/>
        <v>1.2874462521491914</v>
      </c>
      <c r="R13" s="86">
        <v>25.6</v>
      </c>
      <c r="S13" s="41">
        <f t="shared" si="6"/>
        <v>1.0437802638169977</v>
      </c>
      <c r="T13" s="41">
        <f>параметры!$B$15*ИБР!N13+параметры!$B$16*ИБР!P13+параметры!$B$18*ИБР!Q13+параметры!$B$17*ИБР!S13</f>
        <v>1.1492154435263624</v>
      </c>
      <c r="U13" s="41">
        <f t="shared" si="7"/>
        <v>1.2371795866702511</v>
      </c>
    </row>
    <row r="14" spans="1:21" ht="25.5">
      <c r="A14" s="37">
        <v>8</v>
      </c>
      <c r="B14" s="47" t="s">
        <v>8</v>
      </c>
      <c r="C14" s="52">
        <v>1160</v>
      </c>
      <c r="D14" s="52">
        <v>1160</v>
      </c>
      <c r="E14" s="39"/>
      <c r="F14" s="40">
        <f t="shared" si="0"/>
        <v>1</v>
      </c>
      <c r="G14" s="41">
        <f t="shared" si="1"/>
        <v>1.1627370598257531</v>
      </c>
      <c r="H14" s="56">
        <v>31.98</v>
      </c>
      <c r="I14" s="56">
        <v>4658.45</v>
      </c>
      <c r="J14" s="56">
        <v>6915.97</v>
      </c>
      <c r="K14" s="41">
        <f t="shared" si="2"/>
        <v>0.86019910337239291</v>
      </c>
      <c r="L14" s="41">
        <f>параметры!$B$9*ИБР!G14+параметры!$B$10*ИБР!K14+1-параметры!$B$9-параметры!$B$10</f>
        <v>1.0861341425622051</v>
      </c>
      <c r="M14" s="88">
        <f t="shared" si="8"/>
        <v>0.8</v>
      </c>
      <c r="N14" s="41">
        <f t="shared" si="3"/>
        <v>1.338896551724138</v>
      </c>
      <c r="O14" s="56">
        <v>32.28</v>
      </c>
      <c r="P14" s="41">
        <f t="shared" si="4"/>
        <v>1.0114297743854395</v>
      </c>
      <c r="Q14" s="41">
        <f t="shared" si="5"/>
        <v>0.92811117379814112</v>
      </c>
      <c r="R14" s="86">
        <v>13.6</v>
      </c>
      <c r="S14" s="41">
        <f t="shared" si="6"/>
        <v>1.0803350683148991</v>
      </c>
      <c r="T14" s="41">
        <f>параметры!$B$15*ИБР!N14+параметры!$B$16*ИБР!P14+параметры!$B$18*ИБР!Q14+параметры!$B$17*ИБР!S14</f>
        <v>1.1577045816950333</v>
      </c>
      <c r="U14" s="41">
        <f t="shared" si="7"/>
        <v>1.250684268625821</v>
      </c>
    </row>
    <row r="15" spans="1:21" ht="25.5">
      <c r="A15" s="37">
        <v>9</v>
      </c>
      <c r="B15" s="47" t="s">
        <v>9</v>
      </c>
      <c r="C15" s="52">
        <v>577</v>
      </c>
      <c r="D15" s="52">
        <v>577</v>
      </c>
      <c r="E15" s="39">
        <v>10</v>
      </c>
      <c r="F15" s="40">
        <f t="shared" si="0"/>
        <v>1</v>
      </c>
      <c r="G15" s="41">
        <f t="shared" si="1"/>
        <v>1.1627370598257531</v>
      </c>
      <c r="H15" s="56">
        <v>46.95</v>
      </c>
      <c r="I15" s="56">
        <v>8566.9599999999991</v>
      </c>
      <c r="J15" s="56">
        <v>6915.97</v>
      </c>
      <c r="K15" s="41">
        <f t="shared" si="2"/>
        <v>1.4417097405314214</v>
      </c>
      <c r="L15" s="41">
        <f>параметры!$B$9*ИБР!G15+параметры!$B$10*ИБР!K15+1-параметры!$B$9-параметры!$B$10</f>
        <v>1.1293839374738119</v>
      </c>
      <c r="M15" s="88">
        <f t="shared" si="8"/>
        <v>0.8</v>
      </c>
      <c r="N15" s="41">
        <f t="shared" si="3"/>
        <v>1.8833968804159444</v>
      </c>
      <c r="O15" s="56">
        <v>14.1</v>
      </c>
      <c r="P15" s="41">
        <f t="shared" si="4"/>
        <v>0.88818512784841075</v>
      </c>
      <c r="Q15" s="41">
        <f t="shared" si="5"/>
        <v>0.94419628946188716</v>
      </c>
      <c r="R15" s="86">
        <v>5.7</v>
      </c>
      <c r="S15" s="41">
        <f t="shared" si="6"/>
        <v>0.91028334586834969</v>
      </c>
      <c r="T15" s="41">
        <f>параметры!$B$15*ИБР!N15+параметры!$B$16*ИБР!P15+параметры!$B$18*ИБР!Q15+параметры!$B$17*ИБР!S15</f>
        <v>1.4286618334531884</v>
      </c>
      <c r="U15" s="41">
        <f t="shared" si="7"/>
        <v>1.6048613526780089</v>
      </c>
    </row>
    <row r="16" spans="1:21" ht="25.5">
      <c r="A16" s="37">
        <v>10</v>
      </c>
      <c r="B16" s="47" t="s">
        <v>10</v>
      </c>
      <c r="C16" s="52">
        <v>1987</v>
      </c>
      <c r="D16" s="52">
        <v>1987</v>
      </c>
      <c r="E16" s="39">
        <v>477</v>
      </c>
      <c r="F16" s="40">
        <f t="shared" si="0"/>
        <v>1</v>
      </c>
      <c r="G16" s="41">
        <f t="shared" si="1"/>
        <v>1.1627370598257531</v>
      </c>
      <c r="H16" s="56">
        <v>56.69</v>
      </c>
      <c r="I16" s="56">
        <v>4437.22</v>
      </c>
      <c r="J16" s="56">
        <v>6915.97</v>
      </c>
      <c r="K16" s="41">
        <f t="shared" si="2"/>
        <v>0.85821840864488819</v>
      </c>
      <c r="L16" s="41">
        <f>параметры!$B$9*ИБР!G16+параметры!$B$10*ИБР!K16+1-параметры!$B$9-параметры!$B$10</f>
        <v>1.0859868285918783</v>
      </c>
      <c r="M16" s="88">
        <f t="shared" si="8"/>
        <v>0.8</v>
      </c>
      <c r="N16" s="41">
        <f t="shared" si="3"/>
        <v>1.1146049320583795</v>
      </c>
      <c r="O16" s="56">
        <v>58.7</v>
      </c>
      <c r="P16" s="41">
        <f t="shared" si="4"/>
        <v>1.0737432125022892</v>
      </c>
      <c r="Q16" s="41">
        <f t="shared" si="5"/>
        <v>1.1509139065116356</v>
      </c>
      <c r="R16" s="86">
        <v>34.1</v>
      </c>
      <c r="S16" s="41">
        <f t="shared" si="6"/>
        <v>1.5813720788901444</v>
      </c>
      <c r="T16" s="41">
        <f>параметры!$B$15*ИБР!N16+параметры!$B$16*ИБР!P16+параметры!$B$18*ИБР!Q16+параметры!$B$17*ИБР!S16</f>
        <v>1.1697115683245429</v>
      </c>
      <c r="U16" s="41">
        <f t="shared" si="7"/>
        <v>1.2634841908530636</v>
      </c>
    </row>
    <row r="17" spans="1:21" ht="26.25">
      <c r="A17" s="37"/>
      <c r="B17" s="19" t="s">
        <v>11</v>
      </c>
      <c r="C17" s="53">
        <f>C7+C8+C9+C10+C11+C12+C13+C14+C15+C16</f>
        <v>31256</v>
      </c>
      <c r="D17" s="53">
        <f>D7+D8+D9+D10+D11+D12+D13+D14+D15+D16</f>
        <v>9383</v>
      </c>
      <c r="E17" s="53">
        <f>E7+E8+E9+E10+E11+E12+E13+E14+E15+E16</f>
        <v>2421</v>
      </c>
      <c r="F17" s="42">
        <f t="shared" si="0"/>
        <v>0.30019836191451243</v>
      </c>
      <c r="G17" s="43">
        <f t="shared" si="1"/>
        <v>1</v>
      </c>
      <c r="H17" s="54">
        <f>(C7*H7+C8*H8+C9*H9+C10*H10+C11*H11+C12*H12+C13*H13+C14*H14+C15*H15+C16*H16)/C17</f>
        <v>165.23756942667006</v>
      </c>
      <c r="I17" s="54">
        <f>(C7*I7+C8*I8+C9*I9+C10*I10+C11*I11+C12*I12+C13*I13+C14*I14+C15*I15+C16*I16)/C17</f>
        <v>4509.355451753263</v>
      </c>
      <c r="J17" s="54">
        <f>(C7*J7+C8*J8+C9*J9+C10*J10+C11*J11+C12*J12+C13*J13+C14*J14+C15*J15+C16*J16)/C17</f>
        <v>6915.9699999999993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5">
        <f>O7+O8+O9+O10+O11+O12+O13+O14+O15+O16</f>
        <v>859.95</v>
      </c>
      <c r="P17" s="43">
        <f t="shared" si="4"/>
        <v>1</v>
      </c>
      <c r="Q17" s="43">
        <f t="shared" si="5"/>
        <v>1</v>
      </c>
      <c r="R17" s="87">
        <f>R7+R8+R9+R10+R11+R12+R13+R14+R15+R16</f>
        <v>339.20000000000005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17" t="s">
        <v>33</v>
      </c>
      <c r="D19" s="118"/>
      <c r="E19" s="118"/>
      <c r="F19" s="118"/>
      <c r="G19" s="118"/>
      <c r="H19" s="118"/>
      <c r="I19" s="118"/>
      <c r="J19" s="118"/>
      <c r="K19" s="107"/>
      <c r="L19" s="107"/>
      <c r="M19" s="107"/>
      <c r="N19" s="107"/>
      <c r="O19" s="107"/>
      <c r="P19" s="107"/>
      <c r="Q19" s="107"/>
    </row>
    <row r="20" spans="1:21" ht="33" customHeight="1">
      <c r="C20" s="118"/>
      <c r="D20" s="118"/>
      <c r="E20" s="118"/>
      <c r="F20" s="118"/>
      <c r="G20" s="118"/>
      <c r="H20" s="118"/>
      <c r="I20" s="118"/>
      <c r="J20" s="118"/>
      <c r="K20" s="107"/>
      <c r="L20" s="107"/>
      <c r="M20" s="107"/>
      <c r="N20" s="107"/>
      <c r="O20" s="107"/>
      <c r="P20" s="107"/>
      <c r="Q20" s="107"/>
    </row>
    <row r="21" spans="1:21" ht="49.5" customHeight="1">
      <c r="C21" s="118"/>
      <c r="D21" s="118"/>
      <c r="E21" s="118"/>
      <c r="F21" s="118"/>
      <c r="G21" s="118"/>
      <c r="H21" s="118"/>
      <c r="I21" s="118"/>
      <c r="J21" s="118"/>
      <c r="K21" s="107"/>
      <c r="L21" s="107"/>
      <c r="M21" s="107"/>
      <c r="N21" s="107"/>
      <c r="O21" s="107"/>
      <c r="P21" s="107"/>
      <c r="Q21" s="107"/>
    </row>
    <row r="22" spans="1:21" ht="66.75" customHeight="1">
      <c r="C22" s="118"/>
      <c r="D22" s="118"/>
      <c r="E22" s="118"/>
      <c r="F22" s="118"/>
      <c r="G22" s="118"/>
      <c r="H22" s="118"/>
      <c r="I22" s="118"/>
      <c r="J22" s="118"/>
      <c r="K22" s="107"/>
      <c r="L22" s="107"/>
      <c r="M22" s="107"/>
      <c r="N22" s="107"/>
      <c r="O22" s="107"/>
      <c r="P22" s="107"/>
      <c r="Q22" s="107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O25"/>
  <sheetViews>
    <sheetView topLeftCell="A7" zoomScale="73" zoomScaleNormal="73" workbookViewId="0">
      <selection activeCell="I9" sqref="I9:I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9.140625" style="1"/>
    <col min="15" max="15" width="17.140625" style="1" customWidth="1"/>
    <col min="16" max="16384" width="9.140625" style="1"/>
  </cols>
  <sheetData>
    <row r="2" spans="1:15" ht="31.5" customHeight="1">
      <c r="A2" s="133" t="s">
        <v>77</v>
      </c>
      <c r="B2" s="133"/>
      <c r="C2" s="133"/>
      <c r="D2" s="133"/>
      <c r="E2" s="134"/>
      <c r="F2" s="134"/>
      <c r="G2" s="134"/>
      <c r="H2" s="134"/>
      <c r="I2" s="134"/>
    </row>
    <row r="3" spans="1:15">
      <c r="A3" s="133"/>
      <c r="B3" s="133"/>
      <c r="C3" s="133"/>
      <c r="D3" s="133"/>
      <c r="E3" s="134"/>
      <c r="F3" s="134"/>
      <c r="G3" s="134"/>
      <c r="H3" s="134"/>
      <c r="I3" s="134"/>
    </row>
    <row r="4" spans="1:15" ht="18">
      <c r="A4" s="9"/>
      <c r="B4" s="9"/>
      <c r="C4" s="9"/>
      <c r="D4" s="9"/>
      <c r="E4" s="9"/>
      <c r="F4" s="9"/>
      <c r="G4" s="9"/>
      <c r="H4" s="9"/>
      <c r="I4" s="9"/>
    </row>
    <row r="5" spans="1:15" ht="18">
      <c r="A5" s="9"/>
      <c r="B5" s="9"/>
      <c r="C5" s="9"/>
      <c r="D5" s="9"/>
      <c r="E5" s="9"/>
      <c r="F5" s="9"/>
      <c r="G5" s="9"/>
      <c r="H5" s="9"/>
      <c r="I5" s="9"/>
    </row>
    <row r="6" spans="1:15" ht="18">
      <c r="A6" s="9"/>
      <c r="B6" s="9"/>
      <c r="C6" s="9"/>
      <c r="D6" s="9"/>
      <c r="E6" s="9"/>
      <c r="F6" s="9"/>
      <c r="G6" s="9"/>
      <c r="H6" s="9"/>
      <c r="I6" s="9"/>
    </row>
    <row r="7" spans="1:15" s="28" customFormat="1" ht="132.75" customHeight="1">
      <c r="A7" s="135" t="s">
        <v>0</v>
      </c>
      <c r="B7" s="135" t="s">
        <v>14</v>
      </c>
      <c r="C7" s="135" t="s">
        <v>63</v>
      </c>
      <c r="D7" s="131" t="s">
        <v>78</v>
      </c>
      <c r="E7" s="131" t="s">
        <v>28</v>
      </c>
      <c r="F7" s="131" t="s">
        <v>29</v>
      </c>
      <c r="G7" s="132" t="s">
        <v>42</v>
      </c>
      <c r="H7" s="131" t="s">
        <v>79</v>
      </c>
      <c r="I7" s="131" t="s">
        <v>80</v>
      </c>
    </row>
    <row r="8" spans="1:15" s="28" customFormat="1" ht="150" customHeight="1">
      <c r="A8" s="136"/>
      <c r="B8" s="136"/>
      <c r="C8" s="136"/>
      <c r="D8" s="131"/>
      <c r="E8" s="131"/>
      <c r="F8" s="131"/>
      <c r="G8" s="132"/>
      <c r="H8" s="131"/>
      <c r="I8" s="131"/>
    </row>
    <row r="9" spans="1:15" ht="25.5">
      <c r="A9" s="37">
        <v>1</v>
      </c>
      <c r="B9" s="37" t="s">
        <v>1</v>
      </c>
      <c r="C9" s="89">
        <v>11149</v>
      </c>
      <c r="D9" s="86">
        <v>56541.4</v>
      </c>
      <c r="E9" s="41">
        <f>($D$19+параметры!$B$6)/'2 часть дотации'!$D$19</f>
        <v>2.5156669689110869</v>
      </c>
      <c r="F9" s="41">
        <f>ИНП!N10/ИБР!U7</f>
        <v>1.8981683050040503</v>
      </c>
      <c r="G9" s="44">
        <f>($D$19/$C$19)*(E9-F9)*ИБР!U7*'2 часть дотации'!C9</f>
        <v>25830.593248341789</v>
      </c>
      <c r="H9" s="44">
        <f>параметры!$B$6*'2 часть дотации'!G9/SUM($G$9:$G$18)</f>
        <v>25830.593248341796</v>
      </c>
      <c r="I9" s="44">
        <f>'1 часть дотации'!D7+'2 часть дотации'!H9</f>
        <v>45248.530034878786</v>
      </c>
      <c r="K9" s="73"/>
      <c r="M9" s="73"/>
      <c r="O9" s="73"/>
    </row>
    <row r="10" spans="1:15" ht="25.5">
      <c r="A10" s="37">
        <v>2</v>
      </c>
      <c r="B10" s="37" t="s">
        <v>2</v>
      </c>
      <c r="C10" s="89">
        <v>2980</v>
      </c>
      <c r="D10" s="86">
        <v>11678.6</v>
      </c>
      <c r="E10" s="41">
        <f>($D$19+параметры!$B$6)/'2 часть дотации'!$D$19</f>
        <v>2.5156669689110869</v>
      </c>
      <c r="F10" s="41">
        <f>ИНП!N11/ИБР!U8</f>
        <v>0.75203601711362889</v>
      </c>
      <c r="G10" s="44">
        <f>($D$19/$C$19)*(E10-F10)*ИБР!U8*'2 часть дотации'!C10</f>
        <v>22356.883728713816</v>
      </c>
      <c r="H10" s="44">
        <f>параметры!$B$6*'2 часть дотации'!G10/SUM($G$9:$G$18)</f>
        <v>22356.883728713819</v>
      </c>
      <c r="I10" s="44">
        <f>'1 часть дотации'!D8+'2 часть дотации'!H10</f>
        <v>27547.075819832324</v>
      </c>
      <c r="K10" s="73"/>
      <c r="M10" s="73"/>
      <c r="O10" s="73"/>
    </row>
    <row r="11" spans="1:15" ht="25.5">
      <c r="A11" s="37">
        <v>3</v>
      </c>
      <c r="B11" s="37" t="s">
        <v>3</v>
      </c>
      <c r="C11" s="89">
        <v>1507</v>
      </c>
      <c r="D11" s="86">
        <v>5638.6</v>
      </c>
      <c r="E11" s="41">
        <f>($D$19+параметры!$B$6)/'2 часть дотации'!$D$19</f>
        <v>2.5156669689110869</v>
      </c>
      <c r="F11" s="41">
        <f>ИНП!N12/ИБР!U9</f>
        <v>0.62307442244217714</v>
      </c>
      <c r="G11" s="44">
        <f>($D$19/$C$19)*(E11-F11)*ИБР!U9*'2 часть дотации'!C11</f>
        <v>13701.678846661569</v>
      </c>
      <c r="H11" s="44">
        <f>параметры!$B$6*'2 часть дотации'!G11/SUM($G$9:$G$18)</f>
        <v>13701.678846661573</v>
      </c>
      <c r="I11" s="44">
        <f>'1 часть дотации'!D9+'2 часть дотации'!H11</f>
        <v>16326.383370592979</v>
      </c>
      <c r="K11" s="73"/>
      <c r="M11" s="73"/>
      <c r="O11" s="73"/>
    </row>
    <row r="12" spans="1:15" ht="25.5">
      <c r="A12" s="37">
        <v>4</v>
      </c>
      <c r="B12" s="37" t="s">
        <v>4</v>
      </c>
      <c r="C12" s="89">
        <v>2758</v>
      </c>
      <c r="D12" s="86">
        <v>8024</v>
      </c>
      <c r="E12" s="41">
        <f>($D$19+параметры!$B$6)/'2 часть дотации'!$D$19</f>
        <v>2.5156669689110869</v>
      </c>
      <c r="F12" s="41">
        <f>ИНП!N13/ИБР!U10</f>
        <v>0.65709014464374305</v>
      </c>
      <c r="G12" s="44">
        <f>($D$19/$C$19)*(E12-F12)*ИБР!U10*'2 часть дотации'!C12</f>
        <v>20045.933599394994</v>
      </c>
      <c r="H12" s="44">
        <f>параметры!$B$6*'2 часть дотации'!G12/SUM($G$9:$G$18)</f>
        <v>20045.933599395001</v>
      </c>
      <c r="I12" s="44">
        <f>'1 часть дотации'!D10+'2 часть дотации'!H12</f>
        <v>24849.473796477163</v>
      </c>
      <c r="K12" s="73"/>
      <c r="M12" s="73"/>
      <c r="O12" s="73"/>
    </row>
    <row r="13" spans="1:15" ht="25.5">
      <c r="A13" s="37">
        <v>5</v>
      </c>
      <c r="B13" s="37" t="s">
        <v>5</v>
      </c>
      <c r="C13" s="89">
        <v>4410</v>
      </c>
      <c r="D13" s="86">
        <v>15981</v>
      </c>
      <c r="E13" s="41">
        <f>($D$19+параметры!$B$6)/'2 часть дотации'!$D$19</f>
        <v>2.5156669689110869</v>
      </c>
      <c r="F13" s="41">
        <f>ИНП!N14/ИБР!U11</f>
        <v>0.63652606753971452</v>
      </c>
      <c r="G13" s="44">
        <f>($D$19/$C$19)*(E13-F13)*ИБР!U11*'2 часть дотации'!C13</f>
        <v>38391.321044021985</v>
      </c>
      <c r="H13" s="44">
        <f>параметры!$B$6*'2 часть дотации'!G13/SUM($G$9:$G$18)</f>
        <v>38391.321044021999</v>
      </c>
      <c r="I13" s="44">
        <f>'1 часть дотации'!D11+'2 часть дотации'!H13</f>
        <v>46072.108668798042</v>
      </c>
      <c r="K13" s="73"/>
      <c r="M13" s="73"/>
      <c r="O13" s="73"/>
    </row>
    <row r="14" spans="1:15" ht="25.5">
      <c r="A14" s="37">
        <v>6</v>
      </c>
      <c r="B14" s="37" t="s">
        <v>6</v>
      </c>
      <c r="C14" s="89">
        <v>2468</v>
      </c>
      <c r="D14" s="86">
        <v>8827.2000000000007</v>
      </c>
      <c r="E14" s="41">
        <f>($D$19+параметры!$B$6)/'2 часть дотации'!$D$19</f>
        <v>2.5156669689110869</v>
      </c>
      <c r="F14" s="41">
        <f>ИНП!N15/ИБР!U12</f>
        <v>0.52021101294057992</v>
      </c>
      <c r="G14" s="44">
        <f>($D$19/$C$19)*(E14-F14)*ИБР!U12*'2 часть дотации'!C14</f>
        <v>25779.668204394948</v>
      </c>
      <c r="H14" s="44">
        <f>параметры!$B$6*'2 часть дотации'!G14/SUM($G$9:$G$18)</f>
        <v>25779.668204394955</v>
      </c>
      <c r="I14" s="44">
        <f>'1 часть дотации'!D12+'2 часть дотации'!H14</f>
        <v>30078.122593952161</v>
      </c>
      <c r="K14" s="73"/>
      <c r="M14" s="73"/>
      <c r="O14" s="73"/>
    </row>
    <row r="15" spans="1:15" ht="25.5">
      <c r="A15" s="37">
        <v>7</v>
      </c>
      <c r="B15" s="37" t="s">
        <v>7</v>
      </c>
      <c r="C15" s="89">
        <v>2260</v>
      </c>
      <c r="D15" s="86">
        <v>7576.9</v>
      </c>
      <c r="E15" s="41">
        <f>($D$19+параметры!$B$6)/'2 часть дотации'!$D$19</f>
        <v>2.5156669689110869</v>
      </c>
      <c r="F15" s="41">
        <f>ИНП!N16/ИБР!U13</f>
        <v>0.66556953451706147</v>
      </c>
      <c r="G15" s="44">
        <f>($D$19/$C$19)*(E15-F15)*ИБР!U13*'2 часть дотации'!C15</f>
        <v>23235.458382912646</v>
      </c>
      <c r="H15" s="44">
        <f>параметры!$B$6*'2 часть дотации'!G15/SUM($G$9:$G$18)</f>
        <v>23235.458382912653</v>
      </c>
      <c r="I15" s="44">
        <f>'1 часть дотации'!D13+'2 часть дотации'!H15</f>
        <v>27171.64433121058</v>
      </c>
      <c r="K15" s="73"/>
      <c r="M15" s="73"/>
      <c r="O15" s="73"/>
    </row>
    <row r="16" spans="1:15" ht="25.5">
      <c r="A16" s="37">
        <v>8</v>
      </c>
      <c r="B16" s="37" t="s">
        <v>8</v>
      </c>
      <c r="C16" s="89">
        <v>1160</v>
      </c>
      <c r="D16" s="86">
        <v>3093.7</v>
      </c>
      <c r="E16" s="41">
        <f>($D$19+параметры!$B$6)/'2 часть дотации'!$D$19</f>
        <v>2.5156669689110869</v>
      </c>
      <c r="F16" s="41">
        <f>ИНП!N17/ИБР!U14</f>
        <v>0.30844652913563275</v>
      </c>
      <c r="G16" s="44">
        <f>($D$19/$C$19)*(E16-F16)*ИБР!U14*'2 часть дотации'!C16</f>
        <v>14383.575079455106</v>
      </c>
      <c r="H16" s="44">
        <f>параметры!$B$6*'2 часть дотации'!G16/SUM($G$9:$G$18)</f>
        <v>14383.57507945511</v>
      </c>
      <c r="I16" s="44">
        <f>'1 часть дотации'!D14+'2 часть дотации'!H16</f>
        <v>16403.918309554931</v>
      </c>
      <c r="K16" s="73"/>
      <c r="M16" s="73"/>
      <c r="O16" s="73"/>
    </row>
    <row r="17" spans="1:15" ht="25.5">
      <c r="A17" s="37">
        <v>9</v>
      </c>
      <c r="B17" s="37" t="s">
        <v>9</v>
      </c>
      <c r="C17" s="89">
        <v>577</v>
      </c>
      <c r="D17" s="86">
        <v>5374.7</v>
      </c>
      <c r="E17" s="41">
        <f>($D$19+параметры!$B$6)/'2 часть дотации'!$D$19</f>
        <v>2.5156669689110869</v>
      </c>
      <c r="F17" s="41">
        <f>ИНП!N18/ИБР!U15</f>
        <v>0.38394418693268656</v>
      </c>
      <c r="G17" s="44">
        <f>($D$19/$C$19)*(E17-F17)*ИБР!U15*'2 часть дотации'!C17</f>
        <v>8866.6490169756853</v>
      </c>
      <c r="H17" s="44">
        <f>параметры!$B$6*'2 часть дотации'!G17/SUM($G$9:$G$18)</f>
        <v>8866.6490169756871</v>
      </c>
      <c r="I17" s="44">
        <f>'1 часть дотации'!D15+'2 часть дотации'!H17</f>
        <v>9871.5956064305119</v>
      </c>
      <c r="K17" s="73"/>
      <c r="M17" s="73"/>
      <c r="O17" s="73"/>
    </row>
    <row r="18" spans="1:15" ht="25.5">
      <c r="A18" s="37">
        <v>10</v>
      </c>
      <c r="B18" s="37" t="s">
        <v>10</v>
      </c>
      <c r="C18" s="89">
        <v>1987</v>
      </c>
      <c r="D18" s="86">
        <v>17658</v>
      </c>
      <c r="E18" s="41">
        <f>($D$19+параметры!$B$6)/'2 часть дотации'!$D$19</f>
        <v>2.5156669689110869</v>
      </c>
      <c r="F18" s="41">
        <f>ИНП!N19/ИБР!U16</f>
        <v>0.7244614606259403</v>
      </c>
      <c r="G18" s="44">
        <f>($D$19/$C$19)*(E18-F18)*ИБР!U16*'2 часть дотации'!C18</f>
        <v>20198.938849127415</v>
      </c>
      <c r="H18" s="44">
        <f>параметры!$B$6*'2 часть дотации'!G18/SUM($G$9:$G$18)</f>
        <v>20198.938849127422</v>
      </c>
      <c r="I18" s="44">
        <f>'1 часть дотации'!D16+'2 часть дотации'!H18</f>
        <v>23659.647468272546</v>
      </c>
      <c r="K18" s="73"/>
      <c r="M18" s="73"/>
      <c r="O18" s="73"/>
    </row>
    <row r="19" spans="1:15" ht="26.25">
      <c r="A19" s="37"/>
      <c r="B19" s="38" t="s">
        <v>11</v>
      </c>
      <c r="C19" s="90">
        <f>C9+C10+C11+C12+C13+C14+C15+C16+C17+C18</f>
        <v>31256</v>
      </c>
      <c r="D19" s="87">
        <f t="shared" ref="D19:H19" si="0">D9+D10+D11+D12+D13+D14+D15+D16+D17+D18</f>
        <v>140394.09999999998</v>
      </c>
      <c r="E19" s="43">
        <f>($D$19+параметры!$B$6)/'2 часть дотации'!$D$19</f>
        <v>2.5156669689110869</v>
      </c>
      <c r="F19" s="41"/>
      <c r="G19" s="45">
        <f t="shared" si="0"/>
        <v>212790.69999999995</v>
      </c>
      <c r="H19" s="45">
        <f t="shared" si="0"/>
        <v>212790.69999999998</v>
      </c>
      <c r="I19" s="45">
        <f>SUM(I9:I18)</f>
        <v>267228.50000000006</v>
      </c>
      <c r="K19" s="73"/>
      <c r="M19" s="73"/>
      <c r="O19" s="73"/>
    </row>
    <row r="20" spans="1:15">
      <c r="D20" s="6"/>
    </row>
    <row r="24" spans="1:15" ht="15" customHeight="1">
      <c r="A24" s="129" t="s">
        <v>30</v>
      </c>
      <c r="B24" s="130"/>
      <c r="C24" s="130"/>
      <c r="D24" s="130"/>
      <c r="E24" s="130"/>
      <c r="F24" s="130"/>
      <c r="G24" s="130"/>
      <c r="H24" s="130"/>
    </row>
    <row r="25" spans="1:15" ht="39.75" customHeight="1">
      <c r="A25" s="130"/>
      <c r="B25" s="130"/>
      <c r="C25" s="130"/>
      <c r="D25" s="130"/>
      <c r="E25" s="130"/>
      <c r="F25" s="130"/>
      <c r="G25" s="130"/>
      <c r="H25" s="130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3307086614173229" right="0.27559055118110237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>
      <selection activeCell="D16" sqref="D16"/>
    </sheetView>
  </sheetViews>
  <sheetFormatPr defaultRowHeight="12.75"/>
  <cols>
    <col min="1" max="1" width="8.140625" customWidth="1"/>
    <col min="2" max="2" width="26.7109375" customWidth="1"/>
    <col min="3" max="6" width="18.28515625" customWidth="1"/>
  </cols>
  <sheetData>
    <row r="3" spans="1:6" ht="15.75" customHeight="1">
      <c r="A3" s="137" t="s">
        <v>0</v>
      </c>
      <c r="B3" s="139" t="s">
        <v>14</v>
      </c>
      <c r="C3" s="141" t="s">
        <v>89</v>
      </c>
      <c r="D3" s="141"/>
      <c r="E3" s="141"/>
      <c r="F3" s="142" t="s">
        <v>89</v>
      </c>
    </row>
    <row r="4" spans="1:6" ht="119.25" customHeight="1">
      <c r="A4" s="138"/>
      <c r="B4" s="140"/>
      <c r="C4" s="60" t="s">
        <v>55</v>
      </c>
      <c r="D4" s="60" t="s">
        <v>56</v>
      </c>
      <c r="E4" s="61" t="s">
        <v>90</v>
      </c>
      <c r="F4" s="143"/>
    </row>
    <row r="5" spans="1:6" ht="15.75">
      <c r="A5" s="62">
        <v>1</v>
      </c>
      <c r="B5" s="62">
        <v>2</v>
      </c>
      <c r="C5" s="63">
        <v>3</v>
      </c>
      <c r="D5" s="63">
        <v>4</v>
      </c>
      <c r="E5" s="63">
        <v>5</v>
      </c>
      <c r="F5" s="64" t="s">
        <v>57</v>
      </c>
    </row>
    <row r="6" spans="1:6" ht="15">
      <c r="A6" s="65">
        <v>1</v>
      </c>
      <c r="B6" s="65" t="s">
        <v>1</v>
      </c>
      <c r="C6" s="66">
        <f>10527.5+0.1</f>
        <v>10527.6</v>
      </c>
      <c r="D6" s="66">
        <v>19417.900000000001</v>
      </c>
      <c r="E6" s="66">
        <f>F6-D6-C6</f>
        <v>15302.999999999998</v>
      </c>
      <c r="F6" s="67">
        <v>45248.5</v>
      </c>
    </row>
    <row r="7" spans="1:6" ht="15">
      <c r="A7" s="65">
        <v>2</v>
      </c>
      <c r="B7" s="65" t="s">
        <v>2</v>
      </c>
      <c r="C7" s="66">
        <v>10903.9</v>
      </c>
      <c r="D7" s="66">
        <v>5190.2</v>
      </c>
      <c r="E7" s="66">
        <f t="shared" ref="E7:E15" si="0">F7-D7-C7</f>
        <v>11452.999999999998</v>
      </c>
      <c r="F7" s="67">
        <v>27547.1</v>
      </c>
    </row>
    <row r="8" spans="1:6" ht="15">
      <c r="A8" s="65">
        <v>3</v>
      </c>
      <c r="B8" s="65" t="s">
        <v>3</v>
      </c>
      <c r="C8" s="66">
        <v>7847.9</v>
      </c>
      <c r="D8" s="66">
        <v>2624.7</v>
      </c>
      <c r="E8" s="66">
        <f t="shared" si="0"/>
        <v>5853.8000000000011</v>
      </c>
      <c r="F8" s="67">
        <v>16326.4</v>
      </c>
    </row>
    <row r="9" spans="1:6" ht="15">
      <c r="A9" s="65">
        <v>4</v>
      </c>
      <c r="B9" s="65" t="s">
        <v>4</v>
      </c>
      <c r="C9" s="66">
        <v>9880.1</v>
      </c>
      <c r="D9" s="66">
        <v>4803.5</v>
      </c>
      <c r="E9" s="66">
        <f>F9-D9-C9</f>
        <v>10165.9</v>
      </c>
      <c r="F9" s="67">
        <v>24849.5</v>
      </c>
    </row>
    <row r="10" spans="1:6" ht="15">
      <c r="A10" s="65">
        <v>5</v>
      </c>
      <c r="B10" s="65" t="s">
        <v>5</v>
      </c>
      <c r="C10" s="66">
        <v>16835</v>
      </c>
      <c r="D10" s="66">
        <v>7680.8</v>
      </c>
      <c r="E10" s="66">
        <f t="shared" si="0"/>
        <v>21556.299999999996</v>
      </c>
      <c r="F10" s="67">
        <v>46072.1</v>
      </c>
    </row>
    <row r="11" spans="1:6" ht="15">
      <c r="A11" s="65">
        <v>6</v>
      </c>
      <c r="B11" s="65" t="s">
        <v>6</v>
      </c>
      <c r="C11" s="66">
        <v>12546.9</v>
      </c>
      <c r="D11" s="66">
        <v>4298.5</v>
      </c>
      <c r="E11" s="66">
        <f t="shared" si="0"/>
        <v>13232.699999999999</v>
      </c>
      <c r="F11" s="67">
        <v>30078.1</v>
      </c>
    </row>
    <row r="12" spans="1:6" ht="15">
      <c r="A12" s="65">
        <v>7</v>
      </c>
      <c r="B12" s="65" t="s">
        <v>7</v>
      </c>
      <c r="C12" s="66">
        <v>12535.9</v>
      </c>
      <c r="D12" s="66">
        <v>3936.2</v>
      </c>
      <c r="E12" s="66">
        <f t="shared" si="0"/>
        <v>10699.499999999998</v>
      </c>
      <c r="F12" s="67">
        <v>27171.599999999999</v>
      </c>
    </row>
    <row r="13" spans="1:6" ht="15">
      <c r="A13" s="65">
        <v>8</v>
      </c>
      <c r="B13" s="65" t="s">
        <v>8</v>
      </c>
      <c r="C13" s="66">
        <v>8567.6</v>
      </c>
      <c r="D13" s="66">
        <v>2020.3</v>
      </c>
      <c r="E13" s="66">
        <f t="shared" si="0"/>
        <v>5816.0000000000018</v>
      </c>
      <c r="F13" s="67">
        <v>16403.900000000001</v>
      </c>
    </row>
    <row r="14" spans="1:6" ht="15">
      <c r="A14" s="65">
        <v>9</v>
      </c>
      <c r="B14" s="65" t="s">
        <v>9</v>
      </c>
      <c r="C14" s="66">
        <v>6617.5</v>
      </c>
      <c r="D14" s="66">
        <v>1005</v>
      </c>
      <c r="E14" s="66">
        <f t="shared" si="0"/>
        <v>2249.1000000000004</v>
      </c>
      <c r="F14" s="67">
        <v>9871.6</v>
      </c>
    </row>
    <row r="15" spans="1:6" ht="15">
      <c r="A15" s="65">
        <v>10</v>
      </c>
      <c r="B15" s="65" t="s">
        <v>10</v>
      </c>
      <c r="C15" s="66">
        <v>10791.8</v>
      </c>
      <c r="D15" s="66">
        <v>3460.7</v>
      </c>
      <c r="E15" s="66">
        <f t="shared" si="0"/>
        <v>9407.2000000000007</v>
      </c>
      <c r="F15" s="67">
        <v>23659.7</v>
      </c>
    </row>
    <row r="16" spans="1:6" ht="15.75">
      <c r="A16" s="68"/>
      <c r="B16" s="68" t="s">
        <v>11</v>
      </c>
      <c r="C16" s="69">
        <f>SUM(C6:C15)</f>
        <v>107054.2</v>
      </c>
      <c r="D16" s="69">
        <f t="shared" ref="D16" si="1">SUM(D6:D15)</f>
        <v>54437.8</v>
      </c>
      <c r="E16" s="69">
        <f>SUM(E6:E15)</f>
        <v>105736.5</v>
      </c>
      <c r="F16" s="70">
        <f t="shared" ref="F16" si="2">SUM(F6:F15)</f>
        <v>267228.5</v>
      </c>
    </row>
    <row r="17" spans="2:8" ht="15">
      <c r="C17" s="81">
        <v>107054.2</v>
      </c>
      <c r="D17" s="81">
        <v>54437.8</v>
      </c>
      <c r="E17" s="58">
        <f>F17-C17-D17</f>
        <v>105736.49999999999</v>
      </c>
      <c r="F17" s="82">
        <v>267228.5</v>
      </c>
      <c r="H17">
        <v>278910.3</v>
      </c>
    </row>
    <row r="18" spans="2:8" ht="15">
      <c r="B18" s="71"/>
      <c r="C18" s="58"/>
      <c r="D18" s="58"/>
      <c r="E18" s="58"/>
      <c r="F18" s="58"/>
      <c r="H18" s="58">
        <f>H17-F17</f>
        <v>11681.799999999988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7"/>
  <sheetViews>
    <sheetView workbookViewId="0">
      <selection activeCell="D3" sqref="D3"/>
    </sheetView>
  </sheetViews>
  <sheetFormatPr defaultRowHeight="12.75"/>
  <cols>
    <col min="2" max="2" width="32.7109375" customWidth="1"/>
    <col min="3" max="3" width="11.140625" customWidth="1"/>
    <col min="4" max="5" width="12.140625" customWidth="1"/>
    <col min="6" max="7" width="13.5703125" customWidth="1"/>
    <col min="8" max="8" width="18.7109375" customWidth="1"/>
    <col min="9" max="9" width="13.5703125" customWidth="1"/>
    <col min="12" max="12" width="12.85546875" customWidth="1"/>
  </cols>
  <sheetData>
    <row r="3" spans="1:12">
      <c r="D3" s="80" t="s">
        <v>82</v>
      </c>
    </row>
    <row r="4" spans="1:12">
      <c r="A4" s="137" t="s">
        <v>0</v>
      </c>
      <c r="B4" s="139" t="s">
        <v>14</v>
      </c>
      <c r="C4" s="139" t="s">
        <v>72</v>
      </c>
      <c r="D4" s="146" t="s">
        <v>83</v>
      </c>
      <c r="E4" s="144" t="s">
        <v>84</v>
      </c>
      <c r="F4" s="146" t="s">
        <v>85</v>
      </c>
      <c r="G4" s="144" t="s">
        <v>86</v>
      </c>
      <c r="H4" s="146" t="s">
        <v>87</v>
      </c>
      <c r="I4" s="144" t="s">
        <v>88</v>
      </c>
    </row>
    <row r="5" spans="1:12" ht="38.25" customHeight="1">
      <c r="A5" s="138"/>
      <c r="B5" s="140"/>
      <c r="C5" s="140"/>
      <c r="D5" s="146"/>
      <c r="E5" s="145"/>
      <c r="F5" s="146"/>
      <c r="G5" s="145"/>
      <c r="H5" s="146"/>
      <c r="I5" s="145"/>
    </row>
    <row r="6" spans="1:12" ht="15.75">
      <c r="A6" s="74">
        <v>1</v>
      </c>
      <c r="B6" s="74">
        <v>2</v>
      </c>
      <c r="C6" s="74"/>
      <c r="D6" s="75"/>
      <c r="E6" s="75"/>
      <c r="F6" s="75"/>
      <c r="G6" s="75"/>
      <c r="H6" s="75"/>
      <c r="I6" s="75"/>
    </row>
    <row r="7" spans="1:12" ht="15">
      <c r="A7" s="65">
        <v>1</v>
      </c>
      <c r="B7" s="65" t="s">
        <v>1</v>
      </c>
      <c r="C7" s="76">
        <v>55546.1</v>
      </c>
      <c r="D7" s="77">
        <v>40552.800000000003</v>
      </c>
      <c r="E7" s="77">
        <f t="shared" ref="E7:E16" si="0">D7-C7</f>
        <v>-14993.299999999996</v>
      </c>
      <c r="F7" s="77">
        <v>45248.5</v>
      </c>
      <c r="G7" s="77">
        <f t="shared" ref="G7:G16" si="1">F7-C7</f>
        <v>-10297.599999999999</v>
      </c>
      <c r="H7" s="77">
        <v>52319.199999999997</v>
      </c>
      <c r="I7" s="77">
        <f t="shared" ref="I7:I16" si="2">H7-C7</f>
        <v>-3226.9000000000015</v>
      </c>
      <c r="L7" s="73"/>
    </row>
    <row r="8" spans="1:12" ht="15">
      <c r="A8" s="65">
        <v>2</v>
      </c>
      <c r="B8" s="65" t="s">
        <v>2</v>
      </c>
      <c r="C8" s="76">
        <v>27669.4</v>
      </c>
      <c r="D8" s="77">
        <v>27578.799999999999</v>
      </c>
      <c r="E8" s="77">
        <f t="shared" si="0"/>
        <v>-90.600000000002183</v>
      </c>
      <c r="F8" s="77">
        <v>27547.1</v>
      </c>
      <c r="G8" s="77">
        <f t="shared" si="1"/>
        <v>-122.30000000000291</v>
      </c>
      <c r="H8" s="77">
        <v>27499.3</v>
      </c>
      <c r="I8" s="77">
        <f t="shared" si="2"/>
        <v>-170.10000000000218</v>
      </c>
      <c r="L8" s="73"/>
    </row>
    <row r="9" spans="1:12" ht="15">
      <c r="A9" s="65">
        <v>3</v>
      </c>
      <c r="B9" s="65" t="s">
        <v>3</v>
      </c>
      <c r="C9" s="76">
        <v>16687.400000000001</v>
      </c>
      <c r="D9" s="77">
        <v>17224.2</v>
      </c>
      <c r="E9" s="77">
        <f t="shared" si="0"/>
        <v>536.79999999999927</v>
      </c>
      <c r="F9" s="77">
        <v>16326.4</v>
      </c>
      <c r="G9" s="77">
        <f t="shared" si="1"/>
        <v>-361.00000000000182</v>
      </c>
      <c r="H9" s="77">
        <v>14974.5</v>
      </c>
      <c r="I9" s="77">
        <f t="shared" si="2"/>
        <v>-1712.9000000000015</v>
      </c>
      <c r="L9" s="73"/>
    </row>
    <row r="10" spans="1:12" ht="15">
      <c r="A10" s="65">
        <v>4</v>
      </c>
      <c r="B10" s="65" t="s">
        <v>4</v>
      </c>
      <c r="C10" s="76">
        <v>25790.799999999999</v>
      </c>
      <c r="D10" s="77">
        <v>25000.2</v>
      </c>
      <c r="E10" s="77">
        <f t="shared" si="0"/>
        <v>-790.59999999999854</v>
      </c>
      <c r="F10" s="77">
        <v>24849.5</v>
      </c>
      <c r="G10" s="77">
        <f t="shared" si="1"/>
        <v>-941.29999999999927</v>
      </c>
      <c r="H10" s="77">
        <v>24622.6</v>
      </c>
      <c r="I10" s="77">
        <f t="shared" si="2"/>
        <v>-1168.2000000000007</v>
      </c>
      <c r="L10" s="73"/>
    </row>
    <row r="11" spans="1:12" ht="15">
      <c r="A11" s="65">
        <v>5</v>
      </c>
      <c r="B11" s="65" t="s">
        <v>5</v>
      </c>
      <c r="C11" s="76">
        <v>42361.599999999999</v>
      </c>
      <c r="D11" s="77">
        <v>45242.1</v>
      </c>
      <c r="E11" s="77">
        <f t="shared" si="0"/>
        <v>2880.5</v>
      </c>
      <c r="F11" s="77">
        <v>46072.1</v>
      </c>
      <c r="G11" s="77">
        <f t="shared" si="1"/>
        <v>3710.5</v>
      </c>
      <c r="H11" s="77">
        <v>47321.8</v>
      </c>
      <c r="I11" s="77">
        <f t="shared" si="2"/>
        <v>4960.2000000000044</v>
      </c>
      <c r="L11" s="73"/>
    </row>
    <row r="12" spans="1:12" ht="15">
      <c r="A12" s="65">
        <v>6</v>
      </c>
      <c r="B12" s="65" t="s">
        <v>6</v>
      </c>
      <c r="C12" s="76">
        <v>27793.9</v>
      </c>
      <c r="D12" s="77">
        <v>30459.1</v>
      </c>
      <c r="E12" s="77">
        <f t="shared" si="0"/>
        <v>2665.1999999999971</v>
      </c>
      <c r="F12" s="77">
        <v>30078.1</v>
      </c>
      <c r="G12" s="77">
        <f t="shared" si="1"/>
        <v>2284.1999999999971</v>
      </c>
      <c r="H12" s="77">
        <v>29504.5</v>
      </c>
      <c r="I12" s="77">
        <f t="shared" si="2"/>
        <v>1710.5999999999985</v>
      </c>
      <c r="L12" s="73"/>
    </row>
    <row r="13" spans="1:12" ht="15">
      <c r="A13" s="65">
        <v>7</v>
      </c>
      <c r="B13" s="65" t="s">
        <v>7</v>
      </c>
      <c r="C13" s="76">
        <v>26432.400000000001</v>
      </c>
      <c r="D13" s="77">
        <v>27670.5</v>
      </c>
      <c r="E13" s="77">
        <f t="shared" si="0"/>
        <v>1238.0999999999985</v>
      </c>
      <c r="F13" s="77">
        <v>27171.7</v>
      </c>
      <c r="G13" s="77">
        <f t="shared" si="1"/>
        <v>739.29999999999927</v>
      </c>
      <c r="H13" s="77">
        <v>26420.5</v>
      </c>
      <c r="I13" s="77">
        <f t="shared" si="2"/>
        <v>-11.900000000001455</v>
      </c>
      <c r="L13" s="73"/>
    </row>
    <row r="14" spans="1:12" ht="15">
      <c r="A14" s="65">
        <v>8</v>
      </c>
      <c r="B14" s="65" t="s">
        <v>8</v>
      </c>
      <c r="C14" s="76">
        <v>16677.3</v>
      </c>
      <c r="D14" s="77">
        <v>17625.7</v>
      </c>
      <c r="E14" s="77">
        <f t="shared" si="0"/>
        <v>948.40000000000146</v>
      </c>
      <c r="F14" s="77">
        <v>16403.900000000001</v>
      </c>
      <c r="G14" s="77">
        <f t="shared" si="1"/>
        <v>-273.39999999999782</v>
      </c>
      <c r="H14" s="77">
        <v>14564.2</v>
      </c>
      <c r="I14" s="77">
        <f t="shared" si="2"/>
        <v>-2113.0999999999985</v>
      </c>
      <c r="L14" s="73"/>
    </row>
    <row r="15" spans="1:12" ht="15">
      <c r="A15" s="65">
        <v>9</v>
      </c>
      <c r="B15" s="65" t="s">
        <v>9</v>
      </c>
      <c r="C15" s="76">
        <v>12918.2</v>
      </c>
      <c r="D15" s="77">
        <v>11536.7</v>
      </c>
      <c r="E15" s="77">
        <f t="shared" si="0"/>
        <v>-1381.5</v>
      </c>
      <c r="F15" s="77">
        <v>9871.6</v>
      </c>
      <c r="G15" s="77">
        <f t="shared" si="1"/>
        <v>-3046.6000000000004</v>
      </c>
      <c r="H15" s="77">
        <v>7364.3</v>
      </c>
      <c r="I15" s="77">
        <f t="shared" si="2"/>
        <v>-5553.9000000000005</v>
      </c>
      <c r="L15" s="73"/>
    </row>
    <row r="16" spans="1:12" ht="15">
      <c r="A16" s="65">
        <v>10</v>
      </c>
      <c r="B16" s="65" t="s">
        <v>10</v>
      </c>
      <c r="C16" s="76">
        <v>27033.200000000001</v>
      </c>
      <c r="D16" s="77">
        <v>24338.400000000001</v>
      </c>
      <c r="E16" s="77">
        <f t="shared" si="0"/>
        <v>-2694.7999999999993</v>
      </c>
      <c r="F16" s="77">
        <v>23659.599999999999</v>
      </c>
      <c r="G16" s="77">
        <f t="shared" si="1"/>
        <v>-3373.6000000000022</v>
      </c>
      <c r="H16" s="77">
        <v>22637.599999999999</v>
      </c>
      <c r="I16" s="77">
        <f t="shared" si="2"/>
        <v>-4395.6000000000022</v>
      </c>
      <c r="L16" s="73"/>
    </row>
    <row r="17" spans="1:9" ht="15.75">
      <c r="A17" s="68"/>
      <c r="B17" s="68" t="s">
        <v>11</v>
      </c>
      <c r="C17" s="78">
        <f>SUM(C7:C16)</f>
        <v>278910.3</v>
      </c>
      <c r="D17" s="79">
        <f>SUM(D7:D16)</f>
        <v>267228.50000000006</v>
      </c>
      <c r="E17" s="77">
        <f t="shared" ref="E17" si="3">D17-C17</f>
        <v>-11681.79999999993</v>
      </c>
      <c r="F17" s="79">
        <f>SUM(F7:F16)</f>
        <v>267228.5</v>
      </c>
      <c r="G17" s="77">
        <f t="shared" ref="G17" si="4">F17-C17</f>
        <v>-11681.799999999988</v>
      </c>
      <c r="H17" s="79">
        <f>SUM(H7:H16)</f>
        <v>267228.5</v>
      </c>
      <c r="I17" s="77">
        <f t="shared" ref="I17" si="5">H17-C17</f>
        <v>-11681.799999999988</v>
      </c>
    </row>
  </sheetData>
  <mergeCells count="9">
    <mergeCell ref="I4:I5"/>
    <mergeCell ref="H4:H5"/>
    <mergeCell ref="A4:A5"/>
    <mergeCell ref="B4:B5"/>
    <mergeCell ref="C4:C5"/>
    <mergeCell ref="D4:D5"/>
    <mergeCell ref="F4:F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параметры</vt:lpstr>
      <vt:lpstr>1 часть дотации</vt:lpstr>
      <vt:lpstr>ИНП</vt:lpstr>
      <vt:lpstr>ИБР</vt:lpstr>
      <vt:lpstr>2 часть дотации</vt:lpstr>
      <vt:lpstr>Лист1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2017-10-21T05:51:17Z</cp:lastPrinted>
  <dcterms:created xsi:type="dcterms:W3CDTF">1996-10-08T23:32:33Z</dcterms:created>
  <dcterms:modified xsi:type="dcterms:W3CDTF">2017-10-21T05:52:49Z</dcterms:modified>
</cp:coreProperties>
</file>