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120" yWindow="120" windowWidth="9720" windowHeight="7320" tabRatio="841" activeTab="3"/>
  </bookViews>
  <sheets>
    <sheet name="параметры" sheetId="5" r:id="rId1"/>
    <sheet name="1 часть дотации" sheetId="1" r:id="rId2"/>
    <sheet name="ИНП" sheetId="2" r:id="rId3"/>
    <sheet name="ИБР" sheetId="3" r:id="rId4"/>
    <sheet name="2 часть дотации" sheetId="6" r:id="rId5"/>
    <sheet name="Лист1" sheetId="9" r:id="rId6"/>
    <sheet name="Лист2" sheetId="10" r:id="rId7"/>
  </sheets>
  <definedNames>
    <definedName name="_xlnm.Print_Titles" localSheetId="3">ИБР!$A:$B</definedName>
  </definedNames>
  <calcPr calcId="125725"/>
</workbook>
</file>

<file path=xl/calcChain.xml><?xml version="1.0" encoding="utf-8"?>
<calcChain xmlns="http://schemas.openxmlformats.org/spreadsheetml/2006/main">
  <c r="E6" i="9"/>
  <c r="D19" i="5"/>
  <c r="B10"/>
  <c r="B9"/>
  <c r="D11"/>
  <c r="F15" i="10" l="1"/>
  <c r="H13" i="3"/>
  <c r="H11"/>
  <c r="H7"/>
  <c r="I8" i="10" l="1"/>
  <c r="I9"/>
  <c r="I10"/>
  <c r="I11"/>
  <c r="I12"/>
  <c r="I13"/>
  <c r="I14"/>
  <c r="I15"/>
  <c r="I16"/>
  <c r="I7"/>
  <c r="G8"/>
  <c r="G9"/>
  <c r="G10"/>
  <c r="G11"/>
  <c r="G12"/>
  <c r="G13"/>
  <c r="G14"/>
  <c r="G15"/>
  <c r="G16"/>
  <c r="G7"/>
  <c r="E8"/>
  <c r="E9"/>
  <c r="E10"/>
  <c r="E11"/>
  <c r="E12"/>
  <c r="E13"/>
  <c r="E14"/>
  <c r="E15"/>
  <c r="E16"/>
  <c r="E7"/>
  <c r="H17"/>
  <c r="I17" s="1"/>
  <c r="F17"/>
  <c r="D17"/>
  <c r="E17" s="1"/>
  <c r="C17"/>
  <c r="D15" i="5"/>
  <c r="D18" l="1"/>
  <c r="B15"/>
  <c r="G17" i="10"/>
  <c r="D10" i="5"/>
  <c r="D9"/>
  <c r="E9" i="9" l="1"/>
  <c r="F16"/>
  <c r="D16"/>
  <c r="E15"/>
  <c r="E14"/>
  <c r="E13"/>
  <c r="E12"/>
  <c r="E11"/>
  <c r="E10"/>
  <c r="E8"/>
  <c r="E7"/>
  <c r="C16" l="1"/>
  <c r="E16"/>
  <c r="B4" i="5" l="1"/>
  <c r="M8" i="3" l="1"/>
  <c r="B6" i="5" l="1"/>
  <c r="B17" l="1"/>
  <c r="B16"/>
  <c r="B18"/>
  <c r="R17" i="3"/>
  <c r="M9"/>
  <c r="M10"/>
  <c r="M11"/>
  <c r="M12"/>
  <c r="M13"/>
  <c r="M14"/>
  <c r="M15"/>
  <c r="M16"/>
  <c r="B19" i="5" l="1"/>
  <c r="D19" i="6" l="1"/>
  <c r="O17" i="3"/>
  <c r="C19" i="6" l="1"/>
  <c r="E17" i="3"/>
  <c r="K20" i="2"/>
  <c r="H20"/>
  <c r="E20"/>
  <c r="D20"/>
  <c r="F10" s="1"/>
  <c r="G20"/>
  <c r="J20"/>
  <c r="C17" i="1"/>
  <c r="D7" s="1"/>
  <c r="D17" i="3"/>
  <c r="I19" i="2" l="1"/>
  <c r="C17" i="3"/>
  <c r="C20" i="2"/>
  <c r="D8" i="1"/>
  <c r="D12"/>
  <c r="D16"/>
  <c r="D11"/>
  <c r="D15"/>
  <c r="D10"/>
  <c r="D14"/>
  <c r="D9"/>
  <c r="D13"/>
  <c r="N8" i="3"/>
  <c r="F11" i="2"/>
  <c r="F12"/>
  <c r="F13"/>
  <c r="F14"/>
  <c r="F15"/>
  <c r="F16"/>
  <c r="F17"/>
  <c r="F18"/>
  <c r="F19"/>
  <c r="I18"/>
  <c r="I17"/>
  <c r="I16"/>
  <c r="I15"/>
  <c r="I14"/>
  <c r="I13"/>
  <c r="I12"/>
  <c r="I11"/>
  <c r="I10"/>
  <c r="L11"/>
  <c r="L12"/>
  <c r="L13"/>
  <c r="L14"/>
  <c r="L15"/>
  <c r="L16"/>
  <c r="L17"/>
  <c r="L18"/>
  <c r="L19"/>
  <c r="L10"/>
  <c r="E10" i="6"/>
  <c r="E11"/>
  <c r="E12"/>
  <c r="E13"/>
  <c r="E14"/>
  <c r="E15"/>
  <c r="E16"/>
  <c r="E17"/>
  <c r="E18"/>
  <c r="E19"/>
  <c r="E9"/>
  <c r="N16" i="3"/>
  <c r="F16"/>
  <c r="N15"/>
  <c r="F15"/>
  <c r="N14"/>
  <c r="F14"/>
  <c r="N13"/>
  <c r="F13"/>
  <c r="N12"/>
  <c r="F12"/>
  <c r="N11"/>
  <c r="F11"/>
  <c r="N10"/>
  <c r="F10"/>
  <c r="N9"/>
  <c r="F9"/>
  <c r="F8"/>
  <c r="N7"/>
  <c r="F7"/>
  <c r="K7" l="1"/>
  <c r="J17"/>
  <c r="S17"/>
  <c r="K10"/>
  <c r="K14"/>
  <c r="K9"/>
  <c r="K13"/>
  <c r="K8"/>
  <c r="K12"/>
  <c r="K16"/>
  <c r="K11"/>
  <c r="K15"/>
  <c r="Q13"/>
  <c r="Q9"/>
  <c r="H17"/>
  <c r="Q10"/>
  <c r="Q14"/>
  <c r="Q11"/>
  <c r="Q15"/>
  <c r="S14"/>
  <c r="Q8"/>
  <c r="Q12"/>
  <c r="Q16"/>
  <c r="S10"/>
  <c r="P8"/>
  <c r="P9"/>
  <c r="P10"/>
  <c r="P11"/>
  <c r="P12"/>
  <c r="P13"/>
  <c r="P14"/>
  <c r="P15"/>
  <c r="P16"/>
  <c r="Q17"/>
  <c r="P7"/>
  <c r="S9"/>
  <c r="S13"/>
  <c r="I17"/>
  <c r="P17"/>
  <c r="S8"/>
  <c r="S12"/>
  <c r="S16"/>
  <c r="Q7"/>
  <c r="F17"/>
  <c r="G17" s="1"/>
  <c r="S7"/>
  <c r="S11"/>
  <c r="S15"/>
  <c r="I20" i="2"/>
  <c r="L20"/>
  <c r="D17" i="1"/>
  <c r="M10" i="2"/>
  <c r="M19"/>
  <c r="M18"/>
  <c r="M17"/>
  <c r="M16"/>
  <c r="M15"/>
  <c r="M14"/>
  <c r="M13"/>
  <c r="M12"/>
  <c r="M11"/>
  <c r="F20"/>
  <c r="T10" i="3" l="1"/>
  <c r="T13"/>
  <c r="T14"/>
  <c r="T16"/>
  <c r="T15"/>
  <c r="T8"/>
  <c r="T11"/>
  <c r="U11" s="1"/>
  <c r="K17"/>
  <c r="L17" s="1"/>
  <c r="T9"/>
  <c r="G16"/>
  <c r="T12"/>
  <c r="T7"/>
  <c r="G12"/>
  <c r="G15"/>
  <c r="G11"/>
  <c r="G7"/>
  <c r="G13"/>
  <c r="G9"/>
  <c r="G14"/>
  <c r="G10"/>
  <c r="G8"/>
  <c r="M20" i="2"/>
  <c r="N20" s="1"/>
  <c r="N10" l="1"/>
  <c r="N18"/>
  <c r="N13"/>
  <c r="N14"/>
  <c r="N17"/>
  <c r="L12" i="3"/>
  <c r="L13"/>
  <c r="L7"/>
  <c r="N19" i="2"/>
  <c r="N15"/>
  <c r="N11"/>
  <c r="L16" i="3"/>
  <c r="N16" i="2"/>
  <c r="N12"/>
  <c r="L10" i="3"/>
  <c r="L8"/>
  <c r="L14"/>
  <c r="L9"/>
  <c r="L15"/>
  <c r="L11"/>
  <c r="F13" i="6" l="1"/>
  <c r="G13" s="1"/>
  <c r="U7" i="3"/>
  <c r="F9" i="6" s="1"/>
  <c r="G9" s="1"/>
  <c r="U12" i="3"/>
  <c r="F14" i="6" s="1"/>
  <c r="G14" s="1"/>
  <c r="U14" i="3"/>
  <c r="F16" i="6" s="1"/>
  <c r="G16" s="1"/>
  <c r="U8" i="3"/>
  <c r="F10" i="6" s="1"/>
  <c r="G10" s="1"/>
  <c r="U13" i="3"/>
  <c r="F15" i="6" s="1"/>
  <c r="G15" s="1"/>
  <c r="U15" i="3"/>
  <c r="F17" i="6" s="1"/>
  <c r="G17" s="1"/>
  <c r="U9" i="3"/>
  <c r="F11" i="6" s="1"/>
  <c r="G11" s="1"/>
  <c r="U10" i="3"/>
  <c r="F12" i="6" s="1"/>
  <c r="G12" s="1"/>
  <c r="U16" i="3"/>
  <c r="F18" i="6" s="1"/>
  <c r="G18" s="1"/>
  <c r="H9" l="1"/>
  <c r="I9" s="1"/>
  <c r="H16"/>
  <c r="I16" s="1"/>
  <c r="H12"/>
  <c r="I12" s="1"/>
  <c r="H15"/>
  <c r="I15" s="1"/>
  <c r="H14"/>
  <c r="I14" s="1"/>
  <c r="H17"/>
  <c r="I17" s="1"/>
  <c r="H11"/>
  <c r="I11" s="1"/>
  <c r="H13"/>
  <c r="I13" s="1"/>
  <c r="G19"/>
  <c r="H18"/>
  <c r="I18" s="1"/>
  <c r="H10"/>
  <c r="I10" s="1"/>
  <c r="H19" l="1"/>
  <c r="I19" l="1"/>
</calcChain>
</file>

<file path=xl/sharedStrings.xml><?xml version="1.0" encoding="utf-8"?>
<sst xmlns="http://schemas.openxmlformats.org/spreadsheetml/2006/main" count="165" uniqueCount="95">
  <si>
    <t>№ п/п</t>
  </si>
  <si>
    <t>г.п. Междуреченский</t>
  </si>
  <si>
    <t>г.п. Кондинское</t>
  </si>
  <si>
    <t>г.п. Луговой</t>
  </si>
  <si>
    <t>г.п. Куминский</t>
  </si>
  <si>
    <t>г.п. Мортка</t>
  </si>
  <si>
    <t>с.п. Леуши</t>
  </si>
  <si>
    <t>с.п. Мулымья</t>
  </si>
  <si>
    <t>с.п. Половинка</t>
  </si>
  <si>
    <t>с.п. Шугур</t>
  </si>
  <si>
    <t>с.п. Болчары</t>
  </si>
  <si>
    <t>Итого по поселениям</t>
  </si>
  <si>
    <t>Индекс налогового потенциала показывает, во сколько раз налоговый потенциал в расчете на одного жителя определенного поселения</t>
  </si>
  <si>
    <t xml:space="preserve">Индекс налогового потенциала </t>
  </si>
  <si>
    <t>Муниципальные образования</t>
  </si>
  <si>
    <t>Итого расходы</t>
  </si>
  <si>
    <t>Удельный вес сельского населения</t>
  </si>
  <si>
    <t>Коэффициент заработной платы</t>
  </si>
  <si>
    <t>Коэффициент стоимости предоставления коммунальных услуг</t>
  </si>
  <si>
    <t>Доля расходов по всем поселениям</t>
  </si>
  <si>
    <t>Расчетный удельный вес расходов в среднем по бюджетам всех поселений</t>
  </si>
  <si>
    <t xml:space="preserve">Весовой коэффициент </t>
  </si>
  <si>
    <t>Коэффициент масштаба</t>
  </si>
  <si>
    <t xml:space="preserve">Коэффициент дифференциации расходов на содержание жилого фонда </t>
  </si>
  <si>
    <t>Коэффициент дисперсности расселения</t>
  </si>
  <si>
    <t>Коэффициент стоимости предоставления муниципальных услуг</t>
  </si>
  <si>
    <t>Индекс бюджетных расходов</t>
  </si>
  <si>
    <t>Коэффициент структуры потребителей муниципальных услуг</t>
  </si>
  <si>
    <t xml:space="preserve">Уровень расчетной бюджетной обеспеченности, установленный в качестве критерия выравнивания расчетной бюджетной обеспеченности </t>
  </si>
  <si>
    <t>Уровень расчетной бюджетной обеспеченности</t>
  </si>
  <si>
    <t>Уровень расчетной бюджетной обеспеченности поселения - соотношение налоговых доходов на одного жителя, которые могут быть получены бюджетом поселения исходя из налоговой базы (налогового потенциала), и аналогичного показателя в среднем по поселениям данного муниципального района с учетом различий в структуре населения, социально-экономических, климатических, географических и иных объективных факторов и условий, влияющих на стоимость предоставления муниципальных услуг в расчете на одного жителя.</t>
  </si>
  <si>
    <t>Налоговый потенциал поселения - оценка налоговых доходов, которые могут быть получены бюджетом поселения исходя из уровня развития и структуры экономики и (или) налоговой базы из основных налоговых источников, закрепленных за этим поселением.</t>
  </si>
  <si>
    <t>Индекс налогового потенциала поселения - отношение налогового потенциала поселения в расчете на одного жителя к аналогичному показателю в среднем по всем поселениям.</t>
  </si>
  <si>
    <t>Индекс бюджетных расходов поселения - показатель, определяющий, во сколько раз больше (меньше) средств бюджета поселения в расчете на одного жителя по сравнению со средним по всем поселениям, входящим в состав данного муниципального района, уровнем необходимо затратить для осуществления полномочий по решению вопросов местного значения поселений с учетом специфики социально-демографического состава обслуживаемого населения и иных объективных факторов, влияющих на стоимость предоставляемых муниципальных услуг в расчете на одного жителя.</t>
  </si>
  <si>
    <t xml:space="preserve">исполнение полномочий по расчету и распределению дотаций поселениям.  </t>
  </si>
  <si>
    <t>(норматив 10%)</t>
  </si>
  <si>
    <t>(норматив 100%)</t>
  </si>
  <si>
    <t xml:space="preserve">Налоговый потенциал по налогу на доходы физических лиц, тыс.руб. </t>
  </si>
  <si>
    <t>Налоговый потенциал по налогу на имущество физических лиц, тыс.руб.</t>
  </si>
  <si>
    <t>Налоговый потенциал по земельному налогу, тыс.руб.</t>
  </si>
  <si>
    <t>Налоговый потенциал, тыс.руб.</t>
  </si>
  <si>
    <t>Коэффициент дифференциации расходов на благоустройство</t>
  </si>
  <si>
    <t>Объем средств, необходимых для доведения уровня расчетной бюджетной обеспеченности до уровня, установленного в качестве критерия выравнивания расчетной бюджетной обеспеченности, тыс.руб.</t>
  </si>
  <si>
    <t xml:space="preserve">Итого расходы </t>
  </si>
  <si>
    <t>Общий объем дотации на выравнивание бюджетной обеспеченности поселений тыс.руб.</t>
  </si>
  <si>
    <t>Размер первой части дотации на выравнивание бюджетной обеспеченности поселений, тыс.руб.</t>
  </si>
  <si>
    <t>Размер второй части дотации на выравнивание бюджетной обеспеченности поселений, тыс.руб.</t>
  </si>
  <si>
    <t>Расчетный удельный вес расходов на заработную плату и начисления на выплаты по оплате труда (включая расходы на заработную плату и начисления на выплаты по оплате труда, осуществляемые за счет субсидий, предоставляемых муниципальным бюджетным и автономным учреждениям (211, 213)</t>
  </si>
  <si>
    <t>Доля других видов расходов по всем поселениям</t>
  </si>
  <si>
    <t>Расчетный удельный вес расходов на приобретение коммунальных услуг (включая расходы на приобретение коммунальных услуг муниципальными бюджетными и автономными учреждениями) (223)</t>
  </si>
  <si>
    <t>Междуреченский</t>
  </si>
  <si>
    <t>Налог на имущество физических лиц (форма 5-МН за 2015 год), тыс.руб.</t>
  </si>
  <si>
    <t>Земельный налог (форма 5-МН за 2015год), тыс.руб.</t>
  </si>
  <si>
    <t>Экономически обоснованный тариф на водоснабжение и водоотведение, руб. за куб.м на 2017 год</t>
  </si>
  <si>
    <t>Экономически обоснованный тариф на теплоснабжение, руб. за Гкал. на 2017 год</t>
  </si>
  <si>
    <t>за счет субсидии</t>
  </si>
  <si>
    <t>за счет субвенции</t>
  </si>
  <si>
    <t>6=3+4+5</t>
  </si>
  <si>
    <t>Фактическое исполнение за 2016 год (без учета целевых средств)</t>
  </si>
  <si>
    <t>Численность постоянного населения, чел. На 01.01.2017</t>
  </si>
  <si>
    <t>Часть РФФПП в сумме 54 437,8 тыс.руб.  равна объему субвенции на</t>
  </si>
  <si>
    <t>Налог на доходы физических лиц (форма 5-НДФЛ за 2016 год), руб.</t>
  </si>
  <si>
    <t>Численность постоянного населения на 01.01.2017 года, чел.</t>
  </si>
  <si>
    <t>Численность постоянного населения, на 01.01.2017 года/ чел.</t>
  </si>
  <si>
    <t>Численность постоянного сельского населения, на 01.01.2017 года /чел.</t>
  </si>
  <si>
    <t>Численность постоянного населения, проживающего в населенных пунктах с численностью населения не более 500 чел., на 01.01.2017 года /  чел.</t>
  </si>
  <si>
    <t>Протяженность дорог, км на 01.01.2017 года</t>
  </si>
  <si>
    <t>Площадь жилого фонда по состоянию на 01.01.2017 года, тыс.кв.м</t>
  </si>
  <si>
    <t>Экономически обоснованный тариф на электроснабжение, за мВТ.час на 2017 год</t>
  </si>
  <si>
    <t>Численность постоянного населения, чел. На 01.01.2017 г</t>
  </si>
  <si>
    <t>Доля расходов на муниципальное управление и организацию оказания услуг в области культуры по всем поселениям раздел 08</t>
  </si>
  <si>
    <t>Доля расходов на содержание муниципального жилого фонда по всем поселениям 0501</t>
  </si>
  <si>
    <t>Доля расходов на благоустройство 0503</t>
  </si>
  <si>
    <t>Дотация на 2017 год</t>
  </si>
  <si>
    <t>Расчет размера второй части дотации на 2019 год</t>
  </si>
  <si>
    <t>Прогноз налоговых доходов на 2019 год, тыс.руб.</t>
  </si>
  <si>
    <t>Размер второй части дотации на выравнивание бюджетной обеспеченности на 2019 год, тыс.руб.</t>
  </si>
  <si>
    <t>Размер дотации на выравнивание бюджетной обеспеченности на 2019 год, тыс.руб.</t>
  </si>
  <si>
    <t>Расчет индекса бюджетных расходов на 2019 год</t>
  </si>
  <si>
    <t>Оклонение 2019 год от 2017 года при ВК 0,7</t>
  </si>
  <si>
    <t>за счет бюджета района при снижении РФФПП на 15% и ВК 0,8</t>
  </si>
  <si>
    <t>Расчет размера первой части дотации на 2019 год</t>
  </si>
  <si>
    <t>Параметры распределения районного фонда финансовой поддержки поселений на 2020 год</t>
  </si>
  <si>
    <t>Размер первой части дотации на 2020 год, тыс.руб.</t>
  </si>
  <si>
    <t>Расчет индекса налогового потенциала поселений на 2020 год</t>
  </si>
  <si>
    <t>Налог на доходы физических лиц (прогноз поступлений на 2020 год), тыс.руб.</t>
  </si>
  <si>
    <t>Налог на имущество физических лиц (прогноз поступлений на 2020 год), тыс.руб.</t>
  </si>
  <si>
    <t>Земельный налог (прогноз поступлений на 2020 год), тыс.руб.</t>
  </si>
  <si>
    <t>РФФПП на 2020 год = 267 228,5 т.р. (сокращение на 15%)</t>
  </si>
  <si>
    <t xml:space="preserve">Дотация на 2020 год при ВК 0,7 </t>
  </si>
  <si>
    <t>Дотация на 2020 год при ВК 0,8</t>
  </si>
  <si>
    <t>Оклонение 2020 год от 2017 года при ВК 0,8</t>
  </si>
  <si>
    <t>Дотация на 2020 год при ВК 0,95</t>
  </si>
  <si>
    <t>Оклонение 2020 год от 2017 года при ВК 0,95</t>
  </si>
  <si>
    <t xml:space="preserve">Дотация на 2020 год </t>
  </si>
</sst>
</file>

<file path=xl/styles.xml><?xml version="1.0" encoding="utf-8"?>
<styleSheet xmlns="http://schemas.openxmlformats.org/spreadsheetml/2006/main">
  <numFmts count="3">
    <numFmt numFmtId="164" formatCode="#,##0.000"/>
    <numFmt numFmtId="165" formatCode="0.0%"/>
    <numFmt numFmtId="166" formatCode="#,##0.0"/>
  </numFmts>
  <fonts count="25">
    <font>
      <sz val="10"/>
      <name val="Arial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14"/>
      <name val="Arial"/>
      <family val="2"/>
      <charset val="204"/>
    </font>
    <font>
      <sz val="14"/>
      <name val="Arial"/>
      <family val="2"/>
      <charset val="204"/>
    </font>
    <font>
      <sz val="12"/>
      <name val="Arial"/>
      <family val="2"/>
      <charset val="204"/>
    </font>
    <font>
      <b/>
      <sz val="13"/>
      <name val="Arial"/>
      <family val="2"/>
      <charset val="204"/>
    </font>
    <font>
      <sz val="13"/>
      <name val="Arial"/>
      <family val="2"/>
      <charset val="204"/>
    </font>
    <font>
      <sz val="16"/>
      <name val="Arial"/>
      <family val="2"/>
      <charset val="204"/>
    </font>
    <font>
      <b/>
      <sz val="16"/>
      <name val="Arial"/>
      <family val="2"/>
      <charset val="204"/>
    </font>
    <font>
      <b/>
      <sz val="15"/>
      <name val="Arial"/>
      <family val="2"/>
      <charset val="204"/>
    </font>
    <font>
      <b/>
      <sz val="18"/>
      <name val="Arial"/>
      <family val="2"/>
      <charset val="204"/>
    </font>
    <font>
      <sz val="18"/>
      <name val="Arial"/>
      <family val="2"/>
      <charset val="204"/>
    </font>
    <font>
      <b/>
      <sz val="20"/>
      <name val="Arial"/>
      <family val="2"/>
      <charset val="204"/>
    </font>
    <font>
      <sz val="20"/>
      <name val="Arial"/>
      <family val="2"/>
      <charset val="204"/>
    </font>
    <font>
      <sz val="15"/>
      <name val="Arial"/>
      <family val="2"/>
      <charset val="204"/>
    </font>
    <font>
      <b/>
      <sz val="26"/>
      <name val="Arial"/>
      <family val="2"/>
      <charset val="204"/>
    </font>
    <font>
      <sz val="26"/>
      <name val="Arial"/>
      <family val="2"/>
      <charset val="204"/>
    </font>
    <font>
      <sz val="17"/>
      <name val="Arial"/>
      <family val="2"/>
      <charset val="204"/>
    </font>
    <font>
      <b/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MS Sans Serif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4" fillId="0" borderId="0"/>
  </cellStyleXfs>
  <cellXfs count="145">
    <xf numFmtId="0" fontId="0" fillId="0" borderId="0" xfId="0"/>
    <xf numFmtId="0" fontId="0" fillId="2" borderId="0" xfId="0" applyFill="1"/>
    <xf numFmtId="0" fontId="0" fillId="2" borderId="1" xfId="0" applyFill="1" applyBorder="1"/>
    <xf numFmtId="0" fontId="0" fillId="2" borderId="0" xfId="0" applyFill="1" applyAlignment="1">
      <alignment wrapText="1"/>
    </xf>
    <xf numFmtId="3" fontId="0" fillId="2" borderId="0" xfId="0" applyNumberFormat="1" applyFill="1"/>
    <xf numFmtId="0" fontId="1" fillId="2" borderId="1" xfId="0" applyFont="1" applyFill="1" applyBorder="1"/>
    <xf numFmtId="0" fontId="3" fillId="2" borderId="0" xfId="0" applyFont="1" applyFill="1"/>
    <xf numFmtId="0" fontId="0" fillId="2" borderId="0" xfId="0" applyFill="1" applyAlignment="1">
      <alignment wrapText="1"/>
    </xf>
    <xf numFmtId="0" fontId="3" fillId="2" borderId="0" xfId="0" applyFont="1" applyFill="1" applyAlignment="1">
      <alignment wrapText="1"/>
    </xf>
    <xf numFmtId="0" fontId="5" fillId="2" borderId="0" xfId="0" applyFont="1" applyFill="1"/>
    <xf numFmtId="0" fontId="5" fillId="2" borderId="1" xfId="0" applyFont="1" applyFill="1" applyBorder="1"/>
    <xf numFmtId="0" fontId="5" fillId="2" borderId="0" xfId="0" applyFont="1" applyFill="1" applyAlignment="1">
      <alignment wrapText="1"/>
    </xf>
    <xf numFmtId="0" fontId="4" fillId="2" borderId="1" xfId="0" applyFont="1" applyFill="1" applyBorder="1"/>
    <xf numFmtId="164" fontId="4" fillId="2" borderId="1" xfId="0" applyNumberFormat="1" applyFont="1" applyFill="1" applyBorder="1"/>
    <xf numFmtId="166" fontId="4" fillId="2" borderId="1" xfId="0" applyNumberFormat="1" applyFont="1" applyFill="1" applyBorder="1"/>
    <xf numFmtId="0" fontId="8" fillId="2" borderId="1" xfId="0" applyFont="1" applyFill="1" applyBorder="1"/>
    <xf numFmtId="0" fontId="9" fillId="2" borderId="1" xfId="0" applyFont="1" applyFill="1" applyBorder="1"/>
    <xf numFmtId="165" fontId="9" fillId="2" borderId="1" xfId="0" applyNumberFormat="1" applyFont="1" applyFill="1" applyBorder="1"/>
    <xf numFmtId="164" fontId="9" fillId="2" borderId="1" xfId="0" applyNumberFormat="1" applyFont="1" applyFill="1" applyBorder="1"/>
    <xf numFmtId="0" fontId="10" fillId="2" borderId="1" xfId="0" applyFont="1" applyFill="1" applyBorder="1"/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1" xfId="0" applyFont="1" applyFill="1" applyBorder="1" applyAlignment="1">
      <alignment wrapText="1"/>
    </xf>
    <xf numFmtId="166" fontId="9" fillId="0" borderId="1" xfId="0" applyNumberFormat="1" applyFont="1" applyFill="1" applyBorder="1"/>
    <xf numFmtId="164" fontId="9" fillId="0" borderId="1" xfId="0" applyNumberFormat="1" applyFont="1" applyFill="1" applyBorder="1"/>
    <xf numFmtId="10" fontId="9" fillId="2" borderId="1" xfId="0" applyNumberFormat="1" applyFont="1" applyFill="1" applyBorder="1"/>
    <xf numFmtId="166" fontId="9" fillId="2" borderId="1" xfId="0" applyNumberFormat="1" applyFont="1" applyFill="1" applyBorder="1"/>
    <xf numFmtId="0" fontId="6" fillId="2" borderId="0" xfId="0" applyFont="1" applyFill="1"/>
    <xf numFmtId="0" fontId="16" fillId="2" borderId="0" xfId="0" applyFont="1" applyFill="1"/>
    <xf numFmtId="166" fontId="4" fillId="0" borderId="1" xfId="0" applyNumberFormat="1" applyFont="1" applyFill="1" applyBorder="1"/>
    <xf numFmtId="0" fontId="9" fillId="0" borderId="5" xfId="0" applyFont="1" applyFill="1" applyBorder="1"/>
    <xf numFmtId="0" fontId="9" fillId="0" borderId="1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vertical="center" wrapText="1"/>
    </xf>
    <xf numFmtId="0" fontId="5" fillId="2" borderId="0" xfId="0" applyFont="1" applyFill="1" applyBorder="1"/>
    <xf numFmtId="0" fontId="4" fillId="2" borderId="0" xfId="0" applyFont="1" applyFill="1" applyBorder="1"/>
    <xf numFmtId="3" fontId="4" fillId="0" borderId="0" xfId="0" applyNumberFormat="1" applyFont="1" applyFill="1" applyBorder="1"/>
    <xf numFmtId="166" fontId="4" fillId="0" borderId="0" xfId="0" applyNumberFormat="1" applyFont="1" applyFill="1" applyBorder="1"/>
    <xf numFmtId="0" fontId="13" fillId="2" borderId="1" xfId="0" applyFont="1" applyFill="1" applyBorder="1"/>
    <xf numFmtId="0" fontId="12" fillId="2" borderId="1" xfId="0" applyFont="1" applyFill="1" applyBorder="1"/>
    <xf numFmtId="0" fontId="15" fillId="2" borderId="1" xfId="0" applyFont="1" applyFill="1" applyBorder="1"/>
    <xf numFmtId="165" fontId="15" fillId="2" borderId="1" xfId="0" applyNumberFormat="1" applyFont="1" applyFill="1" applyBorder="1"/>
    <xf numFmtId="164" fontId="15" fillId="2" borderId="1" xfId="0" applyNumberFormat="1" applyFont="1" applyFill="1" applyBorder="1"/>
    <xf numFmtId="165" fontId="14" fillId="2" borderId="1" xfId="0" applyNumberFormat="1" applyFont="1" applyFill="1" applyBorder="1"/>
    <xf numFmtId="164" fontId="14" fillId="2" borderId="1" xfId="0" applyNumberFormat="1" applyFont="1" applyFill="1" applyBorder="1"/>
    <xf numFmtId="166" fontId="15" fillId="2" borderId="1" xfId="0" applyNumberFormat="1" applyFont="1" applyFill="1" applyBorder="1"/>
    <xf numFmtId="166" fontId="14" fillId="2" borderId="1" xfId="0" applyNumberFormat="1" applyFont="1" applyFill="1" applyBorder="1"/>
    <xf numFmtId="0" fontId="9" fillId="2" borderId="0" xfId="0" applyFont="1" applyFill="1" applyAlignment="1">
      <alignment wrapText="1"/>
    </xf>
    <xf numFmtId="0" fontId="19" fillId="2" borderId="1" xfId="0" applyFont="1" applyFill="1" applyBorder="1"/>
    <xf numFmtId="4" fontId="5" fillId="2" borderId="0" xfId="0" applyNumberFormat="1" applyFont="1" applyFill="1"/>
    <xf numFmtId="9" fontId="5" fillId="2" borderId="0" xfId="0" applyNumberFormat="1" applyFont="1" applyFill="1"/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3" fontId="15" fillId="2" borderId="1" xfId="0" applyNumberFormat="1" applyFont="1" applyFill="1" applyBorder="1"/>
    <xf numFmtId="3" fontId="14" fillId="2" borderId="1" xfId="0" applyNumberFormat="1" applyFont="1" applyFill="1" applyBorder="1"/>
    <xf numFmtId="4" fontId="14" fillId="2" borderId="1" xfId="0" applyNumberFormat="1" applyFont="1" applyFill="1" applyBorder="1"/>
    <xf numFmtId="0" fontId="14" fillId="2" borderId="1" xfId="0" applyFont="1" applyFill="1" applyBorder="1"/>
    <xf numFmtId="4" fontId="15" fillId="2" borderId="1" xfId="0" applyNumberFormat="1" applyFont="1" applyFill="1" applyBorder="1"/>
    <xf numFmtId="0" fontId="5" fillId="0" borderId="0" xfId="0" applyFont="1" applyFill="1"/>
    <xf numFmtId="166" fontId="0" fillId="0" borderId="0" xfId="0" applyNumberFormat="1"/>
    <xf numFmtId="166" fontId="5" fillId="0" borderId="1" xfId="0" applyNumberFormat="1" applyFont="1" applyFill="1" applyBorder="1"/>
    <xf numFmtId="0" fontId="21" fillId="0" borderId="1" xfId="0" applyFont="1" applyBorder="1" applyAlignment="1">
      <alignment horizontal="center" wrapText="1"/>
    </xf>
    <xf numFmtId="166" fontId="21" fillId="0" borderId="1" xfId="0" applyNumberFormat="1" applyFont="1" applyBorder="1" applyAlignment="1">
      <alignment horizontal="center" wrapText="1"/>
    </xf>
    <xf numFmtId="0" fontId="20" fillId="2" borderId="4" xfId="0" applyFont="1" applyFill="1" applyBorder="1" applyAlignment="1">
      <alignment horizontal="center"/>
    </xf>
    <xf numFmtId="0" fontId="21" fillId="0" borderId="1" xfId="0" applyFont="1" applyBorder="1" applyAlignment="1">
      <alignment horizontal="center"/>
    </xf>
    <xf numFmtId="0" fontId="20" fillId="2" borderId="1" xfId="0" applyFont="1" applyFill="1" applyBorder="1" applyAlignment="1">
      <alignment horizontal="center"/>
    </xf>
    <xf numFmtId="0" fontId="22" fillId="2" borderId="1" xfId="0" applyFont="1" applyFill="1" applyBorder="1"/>
    <xf numFmtId="166" fontId="22" fillId="2" borderId="1" xfId="0" applyNumberFormat="1" applyFont="1" applyFill="1" applyBorder="1"/>
    <xf numFmtId="0" fontId="20" fillId="2" borderId="1" xfId="0" applyFont="1" applyFill="1" applyBorder="1"/>
    <xf numFmtId="166" fontId="21" fillId="2" borderId="1" xfId="0" applyNumberFormat="1" applyFont="1" applyFill="1" applyBorder="1"/>
    <xf numFmtId="166" fontId="20" fillId="0" borderId="1" xfId="0" applyNumberFormat="1" applyFont="1" applyBorder="1"/>
    <xf numFmtId="0" fontId="22" fillId="2" borderId="0" xfId="0" applyFont="1" applyFill="1" applyBorder="1"/>
    <xf numFmtId="0" fontId="0" fillId="2" borderId="0" xfId="0" applyFill="1" applyAlignment="1">
      <alignment wrapText="1"/>
    </xf>
    <xf numFmtId="4" fontId="0" fillId="2" borderId="0" xfId="0" applyNumberFormat="1" applyFill="1"/>
    <xf numFmtId="0" fontId="20" fillId="2" borderId="4" xfId="0" applyFont="1" applyFill="1" applyBorder="1" applyAlignment="1">
      <alignment horizontal="center"/>
    </xf>
    <xf numFmtId="0" fontId="0" fillId="0" borderId="1" xfId="0" applyBorder="1"/>
    <xf numFmtId="4" fontId="23" fillId="2" borderId="1" xfId="0" applyNumberFormat="1" applyFont="1" applyFill="1" applyBorder="1"/>
    <xf numFmtId="4" fontId="0" fillId="0" borderId="1" xfId="0" applyNumberFormat="1" applyBorder="1"/>
    <xf numFmtId="4" fontId="1" fillId="2" borderId="1" xfId="0" applyNumberFormat="1" applyFont="1" applyFill="1" applyBorder="1"/>
    <xf numFmtId="4" fontId="1" fillId="0" borderId="1" xfId="0" applyNumberFormat="1" applyFont="1" applyBorder="1"/>
    <xf numFmtId="0" fontId="3" fillId="0" borderId="0" xfId="0" applyFont="1"/>
    <xf numFmtId="166" fontId="6" fillId="2" borderId="1" xfId="0" applyNumberFormat="1" applyFont="1" applyFill="1" applyBorder="1"/>
    <xf numFmtId="3" fontId="5" fillId="0" borderId="1" xfId="0" applyNumberFormat="1" applyFont="1" applyFill="1" applyBorder="1"/>
    <xf numFmtId="3" fontId="4" fillId="0" borderId="1" xfId="0" applyNumberFormat="1" applyFont="1" applyFill="1" applyBorder="1"/>
    <xf numFmtId="3" fontId="9" fillId="0" borderId="1" xfId="0" applyNumberFormat="1" applyFont="1" applyFill="1" applyBorder="1"/>
    <xf numFmtId="0" fontId="15" fillId="0" borderId="1" xfId="0" applyFont="1" applyFill="1" applyBorder="1"/>
    <xf numFmtId="166" fontId="15" fillId="0" borderId="1" xfId="0" applyNumberFormat="1" applyFont="1" applyFill="1" applyBorder="1"/>
    <xf numFmtId="166" fontId="14" fillId="0" borderId="1" xfId="0" applyNumberFormat="1" applyFont="1" applyFill="1" applyBorder="1"/>
    <xf numFmtId="3" fontId="15" fillId="0" borderId="1" xfId="0" applyNumberFormat="1" applyFont="1" applyFill="1" applyBorder="1"/>
    <xf numFmtId="3" fontId="14" fillId="0" borderId="1" xfId="0" applyNumberFormat="1" applyFont="1" applyFill="1" applyBorder="1"/>
    <xf numFmtId="0" fontId="9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/>
    <xf numFmtId="0" fontId="9" fillId="2" borderId="2" xfId="0" applyFont="1" applyFill="1" applyBorder="1" applyAlignment="1">
      <alignment horizontal="center" wrapText="1"/>
    </xf>
    <xf numFmtId="0" fontId="9" fillId="2" borderId="6" xfId="0" applyFont="1" applyFill="1" applyBorder="1" applyAlignment="1"/>
    <xf numFmtId="0" fontId="9" fillId="0" borderId="3" xfId="0" applyFont="1" applyFill="1" applyBorder="1" applyAlignment="1">
      <alignment horizontal="center" wrapText="1"/>
    </xf>
    <xf numFmtId="0" fontId="9" fillId="0" borderId="4" xfId="0" applyFont="1" applyFill="1" applyBorder="1" applyAlignment="1">
      <alignment horizontal="center" wrapText="1"/>
    </xf>
    <xf numFmtId="0" fontId="12" fillId="0" borderId="0" xfId="0" applyFont="1" applyFill="1" applyAlignment="1">
      <alignment horizontal="center" wrapText="1"/>
    </xf>
    <xf numFmtId="0" fontId="13" fillId="0" borderId="0" xfId="0" applyFont="1" applyFill="1" applyAlignment="1">
      <alignment wrapText="1"/>
    </xf>
    <xf numFmtId="0" fontId="4" fillId="0" borderId="3" xfId="0" applyFont="1" applyFill="1" applyBorder="1" applyAlignment="1">
      <alignment horizontal="center" wrapText="1"/>
    </xf>
    <xf numFmtId="0" fontId="4" fillId="0" borderId="4" xfId="0" applyFont="1" applyFill="1" applyBorder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 wrapText="1"/>
    </xf>
    <xf numFmtId="0" fontId="12" fillId="2" borderId="0" xfId="0" applyFont="1" applyFill="1" applyAlignment="1">
      <alignment horizont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wrapText="1"/>
    </xf>
    <xf numFmtId="0" fontId="0" fillId="0" borderId="0" xfId="0" applyAlignment="1"/>
    <xf numFmtId="0" fontId="6" fillId="2" borderId="0" xfId="0" applyFont="1" applyFill="1" applyAlignment="1"/>
    <xf numFmtId="0" fontId="4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17" fillId="2" borderId="0" xfId="0" applyFont="1" applyFill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8" fillId="0" borderId="0" xfId="0" applyFont="1" applyAlignment="1"/>
    <xf numFmtId="2" fontId="4" fillId="2" borderId="1" xfId="0" applyNumberFormat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9" fillId="2" borderId="0" xfId="0" applyNumberFormat="1" applyFont="1" applyFill="1" applyAlignment="1">
      <alignment wrapText="1"/>
    </xf>
    <xf numFmtId="0" fontId="9" fillId="0" borderId="0" xfId="0" applyFont="1" applyAlignment="1">
      <alignment wrapText="1"/>
    </xf>
    <xf numFmtId="0" fontId="17" fillId="2" borderId="0" xfId="0" applyFont="1" applyFill="1" applyAlignment="1">
      <alignment horizontal="center" wrapText="1"/>
    </xf>
    <xf numFmtId="0" fontId="18" fillId="2" borderId="0" xfId="0" applyFont="1" applyFill="1" applyAlignment="1"/>
    <xf numFmtId="0" fontId="11" fillId="2" borderId="1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3" fillId="2" borderId="0" xfId="0" applyNumberFormat="1" applyFont="1" applyFill="1" applyAlignment="1">
      <alignment wrapText="1"/>
    </xf>
    <xf numFmtId="0" fontId="0" fillId="2" borderId="0" xfId="0" applyFill="1" applyAlignment="1">
      <alignment wrapText="1"/>
    </xf>
    <xf numFmtId="2" fontId="11" fillId="2" borderId="1" xfId="0" applyNumberFormat="1" applyFont="1" applyFill="1" applyBorder="1" applyAlignment="1">
      <alignment horizontal="center" vertical="center" wrapText="1"/>
    </xf>
    <xf numFmtId="0" fontId="20" fillId="2" borderId="3" xfId="0" applyFont="1" applyFill="1" applyBorder="1" applyAlignment="1">
      <alignment horizontal="center"/>
    </xf>
    <xf numFmtId="0" fontId="20" fillId="2" borderId="4" xfId="0" applyFont="1" applyFill="1" applyBorder="1" applyAlignment="1">
      <alignment horizontal="center"/>
    </xf>
    <xf numFmtId="0" fontId="20" fillId="2" borderId="3" xfId="0" applyFont="1" applyFill="1" applyBorder="1" applyAlignment="1">
      <alignment horizontal="center" wrapText="1"/>
    </xf>
    <xf numFmtId="0" fontId="20" fillId="2" borderId="4" xfId="0" applyFont="1" applyFill="1" applyBorder="1" applyAlignment="1">
      <alignment horizontal="center" wrapText="1"/>
    </xf>
    <xf numFmtId="0" fontId="21" fillId="0" borderId="1" xfId="0" applyFont="1" applyBorder="1" applyAlignment="1">
      <alignment horizontal="center"/>
    </xf>
    <xf numFmtId="0" fontId="20" fillId="0" borderId="3" xfId="0" applyFont="1" applyBorder="1" applyAlignment="1">
      <alignment horizontal="center" wrapText="1"/>
    </xf>
    <xf numFmtId="0" fontId="22" fillId="0" borderId="4" xfId="0" applyFont="1" applyBorder="1"/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</cellXfs>
  <cellStyles count="2">
    <cellStyle name="Normal_own-reg-rev" xfId="1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2:Q19"/>
  <sheetViews>
    <sheetView topLeftCell="A7" zoomScale="75" zoomScaleNormal="75" workbookViewId="0">
      <selection activeCell="F15" sqref="F15"/>
    </sheetView>
  </sheetViews>
  <sheetFormatPr defaultRowHeight="18"/>
  <cols>
    <col min="1" max="1" width="52.85546875" style="9" customWidth="1"/>
    <col min="2" max="2" width="28.7109375" style="9" customWidth="1"/>
    <col min="3" max="3" width="9.140625" style="9"/>
    <col min="4" max="4" width="34" style="9" customWidth="1"/>
    <col min="5" max="5" width="9.140625" style="9"/>
    <col min="6" max="6" width="27.7109375" style="9" customWidth="1"/>
    <col min="7" max="7" width="9.140625" style="9"/>
    <col min="8" max="9" width="21" style="9" customWidth="1"/>
    <col min="10" max="10" width="15.85546875" style="9" customWidth="1"/>
    <col min="11" max="11" width="22.140625" style="9" customWidth="1"/>
    <col min="12" max="12" width="18" style="9" customWidth="1"/>
    <col min="13" max="14" width="22.28515625" style="9" customWidth="1"/>
    <col min="15" max="15" width="20.5703125" style="9" customWidth="1"/>
    <col min="16" max="16384" width="9.140625" style="9"/>
  </cols>
  <sheetData>
    <row r="2" spans="1:17" ht="66" customHeight="1">
      <c r="A2" s="95" t="s">
        <v>82</v>
      </c>
      <c r="B2" s="96"/>
      <c r="C2" s="96"/>
      <c r="D2" s="96"/>
    </row>
    <row r="3" spans="1:17" ht="20.25">
      <c r="A3" s="21"/>
      <c r="B3" s="21"/>
      <c r="C3" s="21"/>
      <c r="D3" s="21"/>
      <c r="I3" s="49"/>
      <c r="J3" s="49"/>
      <c r="K3" s="49"/>
      <c r="L3" s="49"/>
      <c r="M3" s="49"/>
      <c r="N3" s="49"/>
      <c r="O3" s="49"/>
    </row>
    <row r="4" spans="1:17" ht="81">
      <c r="A4" s="22" t="s">
        <v>44</v>
      </c>
      <c r="B4" s="23">
        <f>D4</f>
        <v>267228.5</v>
      </c>
      <c r="C4" s="21"/>
      <c r="D4" s="24">
        <v>267228.5</v>
      </c>
      <c r="F4" s="49"/>
      <c r="H4" s="48"/>
      <c r="I4" s="48"/>
      <c r="J4" s="48"/>
      <c r="K4" s="48"/>
      <c r="L4" s="48"/>
      <c r="M4" s="48"/>
      <c r="N4" s="48"/>
      <c r="O4" s="48"/>
      <c r="P4" s="48"/>
      <c r="Q4" s="48"/>
    </row>
    <row r="5" spans="1:17" ht="81">
      <c r="A5" s="22" t="s">
        <v>45</v>
      </c>
      <c r="B5" s="23">
        <v>54437.8</v>
      </c>
      <c r="C5" s="21"/>
      <c r="D5" s="93"/>
      <c r="H5" s="48"/>
      <c r="I5" s="48"/>
      <c r="J5" s="48"/>
      <c r="K5" s="48"/>
      <c r="L5" s="48"/>
      <c r="M5" s="48"/>
      <c r="N5" s="48"/>
      <c r="O5" s="48"/>
      <c r="P5" s="48"/>
      <c r="Q5" s="48"/>
    </row>
    <row r="6" spans="1:17" ht="81">
      <c r="A6" s="22" t="s">
        <v>46</v>
      </c>
      <c r="B6" s="23">
        <f>B4-B5</f>
        <v>212790.7</v>
      </c>
      <c r="C6" s="21"/>
      <c r="D6" s="94"/>
      <c r="H6" s="48"/>
      <c r="I6" s="48"/>
      <c r="J6" s="48"/>
      <c r="K6" s="48"/>
      <c r="L6" s="48"/>
      <c r="M6" s="48"/>
      <c r="N6" s="48"/>
      <c r="O6" s="48"/>
      <c r="P6" s="48"/>
      <c r="Q6" s="48"/>
    </row>
    <row r="7" spans="1:17" ht="20.25">
      <c r="A7" s="16"/>
      <c r="B7" s="16"/>
      <c r="C7" s="21"/>
      <c r="D7" s="21"/>
    </row>
    <row r="8" spans="1:17" ht="81.75" customHeight="1">
      <c r="A8" s="89" t="s">
        <v>20</v>
      </c>
      <c r="B8" s="90"/>
      <c r="C8" s="21"/>
      <c r="D8" s="31" t="s">
        <v>58</v>
      </c>
    </row>
    <row r="9" spans="1:17" ht="199.5" customHeight="1">
      <c r="A9" s="22" t="s">
        <v>47</v>
      </c>
      <c r="B9" s="17">
        <f>D9/D11</f>
        <v>0.5931766263546181</v>
      </c>
      <c r="C9" s="21"/>
      <c r="D9" s="24">
        <f>107582.9+81863.1+30751.9+22679+3271.6+11106.9-3156.9-244.9-188.2</f>
        <v>253665.4</v>
      </c>
    </row>
    <row r="10" spans="1:17" ht="121.5">
      <c r="A10" s="22" t="s">
        <v>49</v>
      </c>
      <c r="B10" s="17">
        <f>D10/D11</f>
        <v>7.4374899009421236E-2</v>
      </c>
      <c r="C10" s="21"/>
      <c r="D10" s="24">
        <f>16286.4+13872.1+1754.5-15.4-92</f>
        <v>31805.599999999999</v>
      </c>
    </row>
    <row r="11" spans="1:17" ht="20.25">
      <c r="A11" s="22" t="s">
        <v>43</v>
      </c>
      <c r="B11" s="25"/>
      <c r="C11" s="21"/>
      <c r="D11" s="24">
        <f>577199.8+276789.9-4420.7-432094.1+10164</f>
        <v>427638.90000000014</v>
      </c>
      <c r="F11" s="11"/>
    </row>
    <row r="12" spans="1:17" ht="20.25">
      <c r="A12" s="21"/>
      <c r="B12" s="21"/>
      <c r="C12" s="21"/>
      <c r="D12" s="24"/>
    </row>
    <row r="13" spans="1:17" ht="20.25">
      <c r="A13" s="21"/>
      <c r="B13" s="21"/>
      <c r="C13" s="21"/>
      <c r="D13" s="30"/>
    </row>
    <row r="14" spans="1:17" ht="101.25" customHeight="1">
      <c r="A14" s="91" t="s">
        <v>19</v>
      </c>
      <c r="B14" s="92"/>
      <c r="C14" s="21"/>
      <c r="D14" s="31" t="s">
        <v>58</v>
      </c>
    </row>
    <row r="15" spans="1:17" ht="81">
      <c r="A15" s="22" t="s">
        <v>70</v>
      </c>
      <c r="B15" s="17">
        <f>D15/D19</f>
        <v>0.52046270813997497</v>
      </c>
      <c r="C15" s="21"/>
      <c r="D15" s="24">
        <f>117137.9+117325.8-11893.6</f>
        <v>222570.1</v>
      </c>
    </row>
    <row r="16" spans="1:17" ht="60.75">
      <c r="A16" s="22" t="s">
        <v>71</v>
      </c>
      <c r="B16" s="17">
        <f>D16/D19</f>
        <v>2.2283286202447902E-2</v>
      </c>
      <c r="C16" s="21"/>
      <c r="D16" s="24">
        <v>9529.2000000000007</v>
      </c>
    </row>
    <row r="17" spans="1:4" ht="40.5">
      <c r="A17" s="22" t="s">
        <v>72</v>
      </c>
      <c r="B17" s="17">
        <f>D17/D19</f>
        <v>9.156463549036345E-2</v>
      </c>
      <c r="C17" s="21"/>
      <c r="D17" s="24">
        <v>39156.6</v>
      </c>
    </row>
    <row r="18" spans="1:4" ht="40.5">
      <c r="A18" s="22" t="s">
        <v>48</v>
      </c>
      <c r="B18" s="17">
        <f>D18/D19</f>
        <v>0.36568937016721365</v>
      </c>
      <c r="C18" s="21"/>
      <c r="D18" s="24">
        <f>D19-D15-D16-D17</f>
        <v>156383.00000000012</v>
      </c>
    </row>
    <row r="19" spans="1:4" ht="20.25">
      <c r="A19" s="22" t="s">
        <v>15</v>
      </c>
      <c r="B19" s="17">
        <f>B15+B16+B17+B18</f>
        <v>1</v>
      </c>
      <c r="C19" s="21"/>
      <c r="D19" s="24">
        <f>D11</f>
        <v>427638.90000000014</v>
      </c>
    </row>
  </sheetData>
  <mergeCells count="4">
    <mergeCell ref="A8:B8"/>
    <mergeCell ref="A14:B14"/>
    <mergeCell ref="D5:D6"/>
    <mergeCell ref="A2:D2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5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</sheetPr>
  <dimension ref="A2:K22"/>
  <sheetViews>
    <sheetView workbookViewId="0">
      <selection activeCell="C11" sqref="C11"/>
    </sheetView>
  </sheetViews>
  <sheetFormatPr defaultRowHeight="12.75"/>
  <cols>
    <col min="1" max="1" width="11" style="1" customWidth="1"/>
    <col min="2" max="2" width="30.28515625" style="1" customWidth="1"/>
    <col min="3" max="3" width="24.28515625" style="1" customWidth="1"/>
    <col min="4" max="4" width="30.7109375" style="1" customWidth="1"/>
    <col min="5" max="16384" width="9.140625" style="1"/>
  </cols>
  <sheetData>
    <row r="2" spans="1:11">
      <c r="A2" s="99" t="s">
        <v>81</v>
      </c>
      <c r="B2" s="99"/>
      <c r="C2" s="99"/>
      <c r="D2" s="99"/>
    </row>
    <row r="3" spans="1:11">
      <c r="A3" s="99"/>
      <c r="B3" s="99"/>
      <c r="C3" s="99"/>
      <c r="D3" s="99"/>
    </row>
    <row r="4" spans="1:11" ht="18">
      <c r="A4" s="9"/>
      <c r="B4" s="9"/>
      <c r="C4" s="9"/>
      <c r="D4" s="9"/>
    </row>
    <row r="5" spans="1:11" ht="12.75" customHeight="1">
      <c r="A5" s="100" t="s">
        <v>0</v>
      </c>
      <c r="B5" s="102" t="s">
        <v>14</v>
      </c>
      <c r="C5" s="102" t="s">
        <v>59</v>
      </c>
      <c r="D5" s="97" t="s">
        <v>83</v>
      </c>
      <c r="E5" s="3"/>
      <c r="F5" s="3"/>
      <c r="G5" s="3"/>
      <c r="H5" s="3"/>
      <c r="I5" s="3"/>
      <c r="J5" s="3"/>
      <c r="K5" s="3"/>
    </row>
    <row r="6" spans="1:11" ht="74.25" customHeight="1">
      <c r="A6" s="101"/>
      <c r="B6" s="103"/>
      <c r="C6" s="103"/>
      <c r="D6" s="98"/>
      <c r="E6" s="3"/>
      <c r="F6" s="3"/>
      <c r="G6" s="3"/>
      <c r="H6" s="3"/>
      <c r="I6" s="3"/>
      <c r="J6" s="3"/>
      <c r="K6" s="3"/>
    </row>
    <row r="7" spans="1:11" ht="18">
      <c r="A7" s="10">
        <v>1</v>
      </c>
      <c r="B7" s="10" t="s">
        <v>1</v>
      </c>
      <c r="C7" s="81">
        <v>11149</v>
      </c>
      <c r="D7" s="59">
        <f>параметры!$B$5*'1 часть дотации'!C7/'1 часть дотации'!$C$17</f>
        <v>19417.936786536986</v>
      </c>
      <c r="G7" s="4"/>
    </row>
    <row r="8" spans="1:11" ht="18">
      <c r="A8" s="10">
        <v>2</v>
      </c>
      <c r="B8" s="10" t="s">
        <v>2</v>
      </c>
      <c r="C8" s="81">
        <v>2980</v>
      </c>
      <c r="D8" s="59">
        <f>параметры!$B$5*'1 часть дотации'!C8/'1 часть дотации'!$C$17</f>
        <v>5190.1920911185052</v>
      </c>
      <c r="G8" s="4"/>
    </row>
    <row r="9" spans="1:11" ht="18">
      <c r="A9" s="10">
        <v>3</v>
      </c>
      <c r="B9" s="10" t="s">
        <v>3</v>
      </c>
      <c r="C9" s="81">
        <v>1507</v>
      </c>
      <c r="D9" s="59">
        <f>параметры!$B$5*'1 часть дотации'!C9/'1 часть дотации'!$C$17</f>
        <v>2624.7045239314057</v>
      </c>
      <c r="G9" s="4"/>
    </row>
    <row r="10" spans="1:11" ht="18">
      <c r="A10" s="10">
        <v>4</v>
      </c>
      <c r="B10" s="10" t="s">
        <v>4</v>
      </c>
      <c r="C10" s="81">
        <v>2758</v>
      </c>
      <c r="D10" s="59">
        <f>параметры!$B$5*'1 часть дотации'!C10/'1 часть дотации'!$C$17</f>
        <v>4803.5401970821604</v>
      </c>
      <c r="G10" s="4"/>
    </row>
    <row r="11" spans="1:11" ht="18">
      <c r="A11" s="10">
        <v>5</v>
      </c>
      <c r="B11" s="10" t="s">
        <v>5</v>
      </c>
      <c r="C11" s="81">
        <v>4410</v>
      </c>
      <c r="D11" s="59">
        <f>параметры!$B$5*'1 часть дотации'!C11/'1 часть дотации'!$C$17</f>
        <v>7680.7876247760432</v>
      </c>
      <c r="G11" s="4"/>
    </row>
    <row r="12" spans="1:11" ht="18">
      <c r="A12" s="10">
        <v>6</v>
      </c>
      <c r="B12" s="10" t="s">
        <v>6</v>
      </c>
      <c r="C12" s="81">
        <v>2468</v>
      </c>
      <c r="D12" s="59">
        <f>параметры!$B$5*'1 часть дотации'!C12/'1 часть дотации'!$C$17</f>
        <v>4298.4543895572051</v>
      </c>
      <c r="G12" s="4"/>
    </row>
    <row r="13" spans="1:11" ht="18">
      <c r="A13" s="10">
        <v>7</v>
      </c>
      <c r="B13" s="10" t="s">
        <v>7</v>
      </c>
      <c r="C13" s="81">
        <v>2260</v>
      </c>
      <c r="D13" s="59">
        <f>параметры!$B$5*'1 часть дотации'!C13/'1 часть дотации'!$C$17</f>
        <v>3936.1859482979266</v>
      </c>
      <c r="G13" s="4"/>
    </row>
    <row r="14" spans="1:11" ht="18">
      <c r="A14" s="10">
        <v>8</v>
      </c>
      <c r="B14" s="10" t="s">
        <v>8</v>
      </c>
      <c r="C14" s="81">
        <v>1160</v>
      </c>
      <c r="D14" s="59">
        <f>параметры!$B$5*'1 часть дотации'!C14/'1 часть дотации'!$C$17</f>
        <v>2020.3432300998209</v>
      </c>
      <c r="G14" s="4"/>
    </row>
    <row r="15" spans="1:11" ht="18">
      <c r="A15" s="10">
        <v>9</v>
      </c>
      <c r="B15" s="10" t="s">
        <v>9</v>
      </c>
      <c r="C15" s="81">
        <v>577</v>
      </c>
      <c r="D15" s="59">
        <f>параметры!$B$5*'1 часть дотации'!C15/'1 часть дотации'!$C$17</f>
        <v>1004.9465894548247</v>
      </c>
      <c r="G15" s="4"/>
    </row>
    <row r="16" spans="1:11" ht="18">
      <c r="A16" s="10">
        <v>10</v>
      </c>
      <c r="B16" s="10" t="s">
        <v>10</v>
      </c>
      <c r="C16" s="81">
        <v>1987</v>
      </c>
      <c r="D16" s="59">
        <f>параметры!$B$5*'1 часть дотации'!C16/'1 часть дотации'!$C$17</f>
        <v>3460.7086191451244</v>
      </c>
      <c r="G16" s="4"/>
    </row>
    <row r="17" spans="1:7" ht="18">
      <c r="A17" s="10"/>
      <c r="B17" s="12" t="s">
        <v>11</v>
      </c>
      <c r="C17" s="82">
        <f>C7+C8+C9+C10+C11+C12+C13+C14+C15+C16</f>
        <v>31256</v>
      </c>
      <c r="D17" s="29">
        <f>D7+D8+D9+D10+D11+D12+D13+D14+D15+D16</f>
        <v>54437.8</v>
      </c>
      <c r="G17" s="4"/>
    </row>
    <row r="18" spans="1:7" ht="18">
      <c r="A18" s="33"/>
      <c r="B18" s="34"/>
      <c r="C18" s="35"/>
      <c r="D18" s="36"/>
      <c r="G18" s="4"/>
    </row>
    <row r="19" spans="1:7" ht="18">
      <c r="A19" s="9" t="s">
        <v>60</v>
      </c>
      <c r="B19" s="57"/>
      <c r="C19" s="9"/>
      <c r="D19" s="9"/>
      <c r="G19" s="4"/>
    </row>
    <row r="20" spans="1:7" ht="18">
      <c r="A20" s="9" t="s">
        <v>34</v>
      </c>
      <c r="B20" s="9"/>
      <c r="C20" s="9"/>
      <c r="D20" s="9"/>
    </row>
    <row r="21" spans="1:7" ht="18">
      <c r="A21" s="9"/>
      <c r="B21" s="9"/>
      <c r="C21" s="9"/>
      <c r="D21" s="9"/>
    </row>
    <row r="22" spans="1:7" ht="18">
      <c r="A22" s="9"/>
      <c r="B22" s="9"/>
      <c r="C22" s="9"/>
      <c r="D22" s="9"/>
    </row>
  </sheetData>
  <mergeCells count="5">
    <mergeCell ref="D5:D6"/>
    <mergeCell ref="A2:D3"/>
    <mergeCell ref="A5:A6"/>
    <mergeCell ref="B5:B6"/>
    <mergeCell ref="C5:C6"/>
  </mergeCells>
  <phoneticPr fontId="0" type="noConversion"/>
  <pageMargins left="0.36" right="0.26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2:U36"/>
  <sheetViews>
    <sheetView workbookViewId="0">
      <pane xSplit="2" ySplit="9" topLeftCell="C10" activePane="bottomRight" state="frozenSplit"/>
      <selection pane="topRight" activeCell="C1" sqref="C1"/>
      <selection pane="bottomLeft" activeCell="A10" sqref="A10"/>
      <selection pane="bottomRight" activeCell="N14" sqref="N14"/>
    </sheetView>
  </sheetViews>
  <sheetFormatPr defaultRowHeight="12.75"/>
  <cols>
    <col min="1" max="1" width="6.140625" style="1" customWidth="1"/>
    <col min="2" max="2" width="30.85546875" style="1" customWidth="1"/>
    <col min="3" max="3" width="14.140625" style="1" customWidth="1"/>
    <col min="4" max="4" width="21.7109375" style="1" customWidth="1"/>
    <col min="5" max="5" width="16.28515625" style="1" customWidth="1"/>
    <col min="6" max="6" width="19.28515625" style="1" customWidth="1"/>
    <col min="7" max="8" width="15.42578125" style="1" customWidth="1"/>
    <col min="9" max="9" width="14.5703125" style="1" customWidth="1"/>
    <col min="10" max="11" width="14.85546875" style="1" customWidth="1"/>
    <col min="12" max="12" width="15.85546875" style="1" customWidth="1"/>
    <col min="13" max="13" width="14.85546875" style="1" customWidth="1"/>
    <col min="14" max="14" width="16.28515625" style="1" customWidth="1"/>
    <col min="15" max="16384" width="9.140625" style="1"/>
  </cols>
  <sheetData>
    <row r="2" spans="1:21">
      <c r="A2" s="104" t="s">
        <v>84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</row>
    <row r="3" spans="1:21">
      <c r="A3" s="104"/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</row>
    <row r="6" spans="1:21">
      <c r="D6" s="1">
        <v>10101</v>
      </c>
      <c r="H6" s="1">
        <v>10601</v>
      </c>
    </row>
    <row r="7" spans="1:21" ht="18.75" customHeight="1">
      <c r="A7" s="105" t="s">
        <v>0</v>
      </c>
      <c r="B7" s="105" t="s">
        <v>14</v>
      </c>
      <c r="C7" s="105" t="s">
        <v>69</v>
      </c>
      <c r="D7" s="109" t="s">
        <v>61</v>
      </c>
      <c r="E7" s="109" t="s">
        <v>85</v>
      </c>
      <c r="F7" s="105" t="s">
        <v>37</v>
      </c>
      <c r="G7" s="109" t="s">
        <v>51</v>
      </c>
      <c r="H7" s="109" t="s">
        <v>86</v>
      </c>
      <c r="I7" s="105" t="s">
        <v>38</v>
      </c>
      <c r="J7" s="109" t="s">
        <v>52</v>
      </c>
      <c r="K7" s="109" t="s">
        <v>87</v>
      </c>
      <c r="L7" s="105" t="s">
        <v>39</v>
      </c>
      <c r="M7" s="105" t="s">
        <v>40</v>
      </c>
      <c r="N7" s="105" t="s">
        <v>13</v>
      </c>
      <c r="O7" s="3"/>
      <c r="P7" s="3"/>
      <c r="Q7" s="3"/>
      <c r="R7" s="3"/>
      <c r="S7" s="3"/>
      <c r="T7" s="3"/>
      <c r="U7" s="3"/>
    </row>
    <row r="8" spans="1:21" ht="114" customHeight="1">
      <c r="A8" s="106"/>
      <c r="B8" s="106"/>
      <c r="C8" s="106"/>
      <c r="D8" s="109"/>
      <c r="E8" s="109"/>
      <c r="F8" s="106"/>
      <c r="G8" s="109"/>
      <c r="H8" s="109"/>
      <c r="I8" s="106"/>
      <c r="J8" s="109"/>
      <c r="K8" s="109"/>
      <c r="L8" s="106"/>
      <c r="M8" s="106"/>
      <c r="N8" s="106"/>
      <c r="O8" s="3"/>
      <c r="P8" s="3"/>
      <c r="Q8" s="3"/>
      <c r="R8" s="3"/>
      <c r="S8" s="3"/>
      <c r="T8" s="3"/>
      <c r="U8" s="3"/>
    </row>
    <row r="9" spans="1:21" ht="66.75" customHeight="1">
      <c r="A9" s="107"/>
      <c r="B9" s="107"/>
      <c r="C9" s="107"/>
      <c r="D9" s="32" t="s">
        <v>36</v>
      </c>
      <c r="E9" s="50" t="s">
        <v>35</v>
      </c>
      <c r="F9" s="108"/>
      <c r="G9" s="50" t="s">
        <v>36</v>
      </c>
      <c r="H9" s="50" t="s">
        <v>36</v>
      </c>
      <c r="I9" s="108"/>
      <c r="J9" s="51" t="s">
        <v>36</v>
      </c>
      <c r="K9" s="51" t="s">
        <v>36</v>
      </c>
      <c r="L9" s="108"/>
      <c r="M9" s="107"/>
      <c r="N9" s="108"/>
      <c r="O9" s="3"/>
      <c r="P9" s="3"/>
      <c r="Q9" s="3"/>
      <c r="R9" s="3"/>
      <c r="S9" s="3"/>
      <c r="T9" s="3"/>
      <c r="U9" s="3"/>
    </row>
    <row r="10" spans="1:21" ht="20.25">
      <c r="A10" s="15">
        <v>1</v>
      </c>
      <c r="B10" s="16" t="s">
        <v>1</v>
      </c>
      <c r="C10" s="83">
        <v>11149</v>
      </c>
      <c r="D10" s="23">
        <v>352772159</v>
      </c>
      <c r="E10" s="26">
        <v>34776.9</v>
      </c>
      <c r="F10" s="23">
        <f>($E$10/0.1+$E$11/0.1+$E$12/0.1+$E$13/0.1+$E$14/0.1+$E$15/0.1+$E$16/0.1+$E$17/0.1+$E$18/0.1+$E$19/0.1)*0.1*(D10/$D$20)</f>
        <v>38025.051004610825</v>
      </c>
      <c r="G10" s="26">
        <v>2318</v>
      </c>
      <c r="H10" s="26">
        <v>2453</v>
      </c>
      <c r="I10" s="23">
        <f>$H$20*1*(G10/$G$20)</f>
        <v>2527.6203699136868</v>
      </c>
      <c r="J10" s="26">
        <v>15340</v>
      </c>
      <c r="K10" s="26">
        <v>7661.9</v>
      </c>
      <c r="L10" s="26">
        <f>$K$20*1*(J10/$J$20)</f>
        <v>7060.193088315963</v>
      </c>
      <c r="M10" s="26">
        <f>F10+I10+L10</f>
        <v>47612.86446284048</v>
      </c>
      <c r="N10" s="18">
        <f>(M10/C10)/($M$20/$C$20)</f>
        <v>1.5853086440817099</v>
      </c>
    </row>
    <row r="11" spans="1:21" ht="20.25">
      <c r="A11" s="15">
        <v>2</v>
      </c>
      <c r="B11" s="16" t="s">
        <v>2</v>
      </c>
      <c r="C11" s="83">
        <v>2980</v>
      </c>
      <c r="D11" s="23">
        <v>45200469</v>
      </c>
      <c r="E11" s="26">
        <v>4517.7</v>
      </c>
      <c r="F11" s="23">
        <f t="shared" ref="F11:F19" si="0">($E$10/0.1+$E$11/0.1+$E$12/0.1+$E$13/0.1+$E$14/0.1+$E$15/0.1+$E$16/0.1+$E$17/0.1+$E$18/0.1+$E$19/0.1)*0.1*(D11/$D$20)</f>
        <v>4872.1252380841388</v>
      </c>
      <c r="G11" s="26">
        <v>271</v>
      </c>
      <c r="H11" s="26">
        <v>322</v>
      </c>
      <c r="I11" s="23">
        <f t="shared" ref="I11:I18" si="1">$H$20*1*(G11/$G$20)</f>
        <v>295.50695437731196</v>
      </c>
      <c r="J11" s="26">
        <v>1198</v>
      </c>
      <c r="K11" s="26">
        <v>738</v>
      </c>
      <c r="L11" s="26">
        <f t="shared" ref="L11:L19" si="2">$K$20*1*(J11/$J$20)</f>
        <v>551.37622684501457</v>
      </c>
      <c r="M11" s="26">
        <f t="shared" ref="M11:M19" si="3">F11+I11+L11</f>
        <v>5719.0084193064649</v>
      </c>
      <c r="N11" s="18">
        <f t="shared" ref="N11:N20" si="4">(M11/C11)/($M$20/$C$20)</f>
        <v>0.71240983252914758</v>
      </c>
    </row>
    <row r="12" spans="1:21" ht="20.25">
      <c r="A12" s="15">
        <v>3</v>
      </c>
      <c r="B12" s="16" t="s">
        <v>3</v>
      </c>
      <c r="C12" s="83">
        <v>1507</v>
      </c>
      <c r="D12" s="23">
        <v>19760513</v>
      </c>
      <c r="E12" s="26">
        <v>1739</v>
      </c>
      <c r="F12" s="23">
        <f t="shared" si="0"/>
        <v>2129.971131600199</v>
      </c>
      <c r="G12" s="26">
        <v>91</v>
      </c>
      <c r="H12" s="26">
        <v>142.69999999999999</v>
      </c>
      <c r="I12" s="23">
        <f t="shared" si="1"/>
        <v>99.229272503082598</v>
      </c>
      <c r="J12" s="26">
        <v>1033</v>
      </c>
      <c r="K12" s="26">
        <v>255</v>
      </c>
      <c r="L12" s="26">
        <f t="shared" si="2"/>
        <v>475.43542765517526</v>
      </c>
      <c r="M12" s="26">
        <f t="shared" si="3"/>
        <v>2704.6358317584568</v>
      </c>
      <c r="N12" s="18">
        <f t="shared" si="4"/>
        <v>0.66622508072699249</v>
      </c>
    </row>
    <row r="13" spans="1:21" ht="20.25">
      <c r="A13" s="15">
        <v>4</v>
      </c>
      <c r="B13" s="16" t="s">
        <v>4</v>
      </c>
      <c r="C13" s="83">
        <v>2758</v>
      </c>
      <c r="D13" s="23">
        <v>34711779</v>
      </c>
      <c r="E13" s="26">
        <v>3168.4</v>
      </c>
      <c r="F13" s="23">
        <f t="shared" si="0"/>
        <v>3741.5570737706062</v>
      </c>
      <c r="G13" s="26">
        <v>136</v>
      </c>
      <c r="H13" s="26">
        <v>141</v>
      </c>
      <c r="I13" s="23">
        <f t="shared" si="1"/>
        <v>148.29869297163992</v>
      </c>
      <c r="J13" s="26">
        <v>788</v>
      </c>
      <c r="K13" s="26">
        <v>640</v>
      </c>
      <c r="L13" s="26">
        <f t="shared" si="2"/>
        <v>362.67484703995945</v>
      </c>
      <c r="M13" s="26">
        <f t="shared" si="3"/>
        <v>4252.5306137822054</v>
      </c>
      <c r="N13" s="18">
        <f t="shared" si="4"/>
        <v>0.57237231593453242</v>
      </c>
    </row>
    <row r="14" spans="1:21" ht="20.25">
      <c r="A14" s="15">
        <v>5</v>
      </c>
      <c r="B14" s="16" t="s">
        <v>5</v>
      </c>
      <c r="C14" s="83">
        <v>4410</v>
      </c>
      <c r="D14" s="23">
        <v>56563473</v>
      </c>
      <c r="E14" s="26">
        <v>5877</v>
      </c>
      <c r="F14" s="23">
        <f t="shared" si="0"/>
        <v>6096.93506403641</v>
      </c>
      <c r="G14" s="26">
        <v>500</v>
      </c>
      <c r="H14" s="26">
        <v>514</v>
      </c>
      <c r="I14" s="23">
        <f t="shared" si="1"/>
        <v>545.21578298397037</v>
      </c>
      <c r="J14" s="26">
        <v>2509</v>
      </c>
      <c r="K14" s="26">
        <v>880</v>
      </c>
      <c r="L14" s="26">
        <f t="shared" si="2"/>
        <v>1154.7603949533736</v>
      </c>
      <c r="M14" s="26">
        <f t="shared" si="3"/>
        <v>7796.9112419737539</v>
      </c>
      <c r="N14" s="18">
        <f t="shared" si="4"/>
        <v>0.65631062324077327</v>
      </c>
    </row>
    <row r="15" spans="1:21" ht="20.25">
      <c r="A15" s="15">
        <v>6</v>
      </c>
      <c r="B15" s="16" t="s">
        <v>6</v>
      </c>
      <c r="C15" s="83">
        <v>2468</v>
      </c>
      <c r="D15" s="23">
        <v>31394904</v>
      </c>
      <c r="E15" s="26">
        <v>3470</v>
      </c>
      <c r="F15" s="23">
        <f t="shared" si="0"/>
        <v>3384.0335622541588</v>
      </c>
      <c r="G15" s="26">
        <v>207</v>
      </c>
      <c r="H15" s="26">
        <v>300</v>
      </c>
      <c r="I15" s="23">
        <f t="shared" si="1"/>
        <v>225.71933415536375</v>
      </c>
      <c r="J15" s="26">
        <v>916</v>
      </c>
      <c r="K15" s="26">
        <v>192</v>
      </c>
      <c r="L15" s="26">
        <f t="shared" si="2"/>
        <v>421.58649732056199</v>
      </c>
      <c r="M15" s="26">
        <f t="shared" si="3"/>
        <v>4031.3393937300848</v>
      </c>
      <c r="N15" s="18">
        <f t="shared" si="4"/>
        <v>0.60635873761399628</v>
      </c>
    </row>
    <row r="16" spans="1:21" ht="20.25">
      <c r="A16" s="15">
        <v>7</v>
      </c>
      <c r="B16" s="16" t="s">
        <v>7</v>
      </c>
      <c r="C16" s="83">
        <v>2260</v>
      </c>
      <c r="D16" s="23">
        <v>39351428</v>
      </c>
      <c r="E16" s="26">
        <v>3866.1</v>
      </c>
      <c r="F16" s="23">
        <f t="shared" si="0"/>
        <v>4241.6614197841809</v>
      </c>
      <c r="G16" s="26">
        <v>186</v>
      </c>
      <c r="H16" s="26">
        <v>202</v>
      </c>
      <c r="I16" s="23">
        <f t="shared" si="1"/>
        <v>202.82027127003698</v>
      </c>
      <c r="J16" s="26">
        <v>1238</v>
      </c>
      <c r="K16" s="26">
        <v>196.5</v>
      </c>
      <c r="L16" s="26">
        <f t="shared" si="2"/>
        <v>569.78611755770282</v>
      </c>
      <c r="M16" s="26">
        <f t="shared" si="3"/>
        <v>5014.2678086119204</v>
      </c>
      <c r="N16" s="18">
        <f t="shared" si="4"/>
        <v>0.82361551574856873</v>
      </c>
    </row>
    <row r="17" spans="1:14" ht="20.25">
      <c r="A17" s="15">
        <v>8</v>
      </c>
      <c r="B17" s="16" t="s">
        <v>8</v>
      </c>
      <c r="C17" s="83">
        <v>1160</v>
      </c>
      <c r="D17" s="23">
        <v>9534277</v>
      </c>
      <c r="E17" s="26">
        <v>1100</v>
      </c>
      <c r="F17" s="23">
        <f t="shared" si="0"/>
        <v>1027.6926905025064</v>
      </c>
      <c r="G17" s="26">
        <v>84</v>
      </c>
      <c r="H17" s="26">
        <v>85</v>
      </c>
      <c r="I17" s="23">
        <f t="shared" si="1"/>
        <v>91.596251541307026</v>
      </c>
      <c r="J17" s="26">
        <v>188</v>
      </c>
      <c r="K17" s="26">
        <v>47</v>
      </c>
      <c r="L17" s="26">
        <f t="shared" si="2"/>
        <v>86.526486349635007</v>
      </c>
      <c r="M17" s="26">
        <f t="shared" si="3"/>
        <v>1205.8154283934484</v>
      </c>
      <c r="N17" s="18">
        <f t="shared" si="4"/>
        <v>0.38587645510705176</v>
      </c>
    </row>
    <row r="18" spans="1:14" ht="20.25">
      <c r="A18" s="15">
        <v>9</v>
      </c>
      <c r="B18" s="16" t="s">
        <v>9</v>
      </c>
      <c r="C18" s="83">
        <v>577</v>
      </c>
      <c r="D18" s="23">
        <v>8050003</v>
      </c>
      <c r="E18" s="26">
        <v>761</v>
      </c>
      <c r="F18" s="23">
        <f t="shared" si="0"/>
        <v>867.7038900404558</v>
      </c>
      <c r="G18" s="26">
        <v>41</v>
      </c>
      <c r="H18" s="26">
        <v>40</v>
      </c>
      <c r="I18" s="23">
        <f t="shared" si="1"/>
        <v>44.707694204685573</v>
      </c>
      <c r="J18" s="26">
        <v>100</v>
      </c>
      <c r="K18" s="26">
        <v>39</v>
      </c>
      <c r="L18" s="26">
        <f t="shared" si="2"/>
        <v>46.024726781720744</v>
      </c>
      <c r="M18" s="26">
        <f t="shared" si="3"/>
        <v>958.43631102686209</v>
      </c>
      <c r="N18" s="18">
        <f t="shared" si="4"/>
        <v>0.61661328696939421</v>
      </c>
    </row>
    <row r="19" spans="1:14" ht="20.25">
      <c r="A19" s="15">
        <v>10</v>
      </c>
      <c r="B19" s="16" t="s">
        <v>10</v>
      </c>
      <c r="C19" s="83">
        <v>1987</v>
      </c>
      <c r="D19" s="23">
        <v>41593836</v>
      </c>
      <c r="E19" s="26">
        <v>9594</v>
      </c>
      <c r="F19" s="23">
        <f t="shared" si="0"/>
        <v>4483.3689253165194</v>
      </c>
      <c r="G19" s="26">
        <v>221</v>
      </c>
      <c r="H19" s="26">
        <v>222</v>
      </c>
      <c r="I19" s="23">
        <f>$H$20*1*(G19/$G$20)</f>
        <v>240.98537607891492</v>
      </c>
      <c r="J19" s="26">
        <v>389</v>
      </c>
      <c r="K19" s="26">
        <v>258</v>
      </c>
      <c r="L19" s="26">
        <f t="shared" si="2"/>
        <v>179.03618718089371</v>
      </c>
      <c r="M19" s="26">
        <f t="shared" si="3"/>
        <v>4903.3904885763277</v>
      </c>
      <c r="N19" s="18">
        <f t="shared" si="4"/>
        <v>0.91606026631741133</v>
      </c>
    </row>
    <row r="20" spans="1:14" ht="18">
      <c r="A20" s="2"/>
      <c r="B20" s="5" t="s">
        <v>11</v>
      </c>
      <c r="C20" s="82">
        <f t="shared" ref="C20:M20" si="5">C10+C11+C12+C13+C14+C15+C16+C17+C18+C19</f>
        <v>31256</v>
      </c>
      <c r="D20" s="29">
        <f t="shared" si="5"/>
        <v>638932841</v>
      </c>
      <c r="E20" s="14">
        <f t="shared" si="5"/>
        <v>68870.100000000006</v>
      </c>
      <c r="F20" s="29">
        <f t="shared" si="5"/>
        <v>68870.100000000006</v>
      </c>
      <c r="G20" s="14">
        <f t="shared" si="5"/>
        <v>4055</v>
      </c>
      <c r="H20" s="14">
        <f t="shared" si="5"/>
        <v>4421.7</v>
      </c>
      <c r="I20" s="29">
        <f t="shared" si="5"/>
        <v>4421.6999999999989</v>
      </c>
      <c r="J20" s="14">
        <f t="shared" si="5"/>
        <v>23699</v>
      </c>
      <c r="K20" s="14">
        <f t="shared" si="5"/>
        <v>10907.4</v>
      </c>
      <c r="L20" s="14">
        <f t="shared" si="5"/>
        <v>10907.400000000003</v>
      </c>
      <c r="M20" s="14">
        <f t="shared" si="5"/>
        <v>84199.200000000012</v>
      </c>
      <c r="N20" s="13">
        <f t="shared" si="4"/>
        <v>1</v>
      </c>
    </row>
    <row r="21" spans="1:14">
      <c r="E21" s="8"/>
      <c r="F21" s="7"/>
      <c r="G21" s="7"/>
      <c r="H21" s="8"/>
      <c r="I21" s="7"/>
      <c r="J21" s="71"/>
      <c r="K21" s="8"/>
    </row>
    <row r="27" spans="1:14">
      <c r="A27" s="110" t="s">
        <v>31</v>
      </c>
      <c r="B27" s="110"/>
      <c r="C27" s="110"/>
      <c r="D27" s="110"/>
      <c r="E27" s="110"/>
      <c r="F27" s="110"/>
      <c r="G27" s="110"/>
      <c r="H27" s="110"/>
      <c r="I27" s="110"/>
      <c r="J27" s="111"/>
      <c r="K27" s="111"/>
      <c r="L27" s="111"/>
      <c r="M27" s="111"/>
    </row>
    <row r="28" spans="1:14">
      <c r="A28" s="110"/>
      <c r="B28" s="110"/>
      <c r="C28" s="110"/>
      <c r="D28" s="110"/>
      <c r="E28" s="110"/>
      <c r="F28" s="110"/>
      <c r="G28" s="110"/>
      <c r="H28" s="110"/>
      <c r="I28" s="110"/>
      <c r="J28" s="111"/>
      <c r="K28" s="111"/>
      <c r="L28" s="111"/>
      <c r="M28" s="111"/>
    </row>
    <row r="29" spans="1:14" ht="24" customHeight="1">
      <c r="A29" s="110"/>
      <c r="B29" s="110"/>
      <c r="C29" s="110"/>
      <c r="D29" s="110"/>
      <c r="E29" s="110"/>
      <c r="F29" s="110"/>
      <c r="G29" s="110"/>
      <c r="H29" s="110"/>
      <c r="I29" s="110"/>
      <c r="J29" s="111"/>
      <c r="K29" s="111"/>
      <c r="L29" s="111"/>
      <c r="M29" s="111"/>
    </row>
    <row r="30" spans="1:14">
      <c r="A30" s="110" t="s">
        <v>32</v>
      </c>
      <c r="B30" s="110"/>
      <c r="C30" s="110"/>
      <c r="D30" s="110"/>
      <c r="E30" s="110"/>
      <c r="F30" s="110"/>
      <c r="G30" s="110"/>
      <c r="H30" s="110"/>
      <c r="I30" s="110"/>
      <c r="J30" s="111"/>
      <c r="K30" s="111"/>
      <c r="L30" s="111"/>
      <c r="M30" s="111"/>
    </row>
    <row r="31" spans="1:14">
      <c r="A31" s="110"/>
      <c r="B31" s="110"/>
      <c r="C31" s="110"/>
      <c r="D31" s="110"/>
      <c r="E31" s="110"/>
      <c r="F31" s="110"/>
      <c r="G31" s="110"/>
      <c r="H31" s="110"/>
      <c r="I31" s="110"/>
      <c r="J31" s="111"/>
      <c r="K31" s="111"/>
      <c r="L31" s="111"/>
      <c r="M31" s="111"/>
    </row>
    <row r="32" spans="1:14">
      <c r="A32" s="110"/>
      <c r="B32" s="110"/>
      <c r="C32" s="110"/>
      <c r="D32" s="110"/>
      <c r="E32" s="110"/>
      <c r="F32" s="110"/>
      <c r="G32" s="110"/>
      <c r="H32" s="110"/>
      <c r="I32" s="110"/>
      <c r="J32" s="111"/>
      <c r="K32" s="111"/>
      <c r="L32" s="111"/>
      <c r="M32" s="111"/>
    </row>
    <row r="33" spans="1:13" ht="15">
      <c r="A33" s="27"/>
      <c r="B33" s="27"/>
      <c r="C33" s="27"/>
      <c r="D33" s="27"/>
      <c r="E33" s="27"/>
      <c r="F33" s="27"/>
      <c r="G33" s="27"/>
      <c r="H33" s="27"/>
      <c r="I33" s="27"/>
    </row>
    <row r="34" spans="1:13">
      <c r="A34" s="112" t="s">
        <v>12</v>
      </c>
      <c r="B34" s="111"/>
      <c r="C34" s="111"/>
      <c r="D34" s="111"/>
      <c r="E34" s="111"/>
      <c r="F34" s="111"/>
      <c r="G34" s="111"/>
      <c r="H34" s="111"/>
      <c r="I34" s="111"/>
      <c r="J34" s="111"/>
      <c r="K34" s="111"/>
      <c r="L34" s="111"/>
      <c r="M34" s="111"/>
    </row>
    <row r="35" spans="1:13">
      <c r="A35" s="111"/>
      <c r="B35" s="111"/>
      <c r="C35" s="111"/>
      <c r="D35" s="111"/>
      <c r="E35" s="111"/>
      <c r="F35" s="111"/>
      <c r="G35" s="111"/>
      <c r="H35" s="111"/>
      <c r="I35" s="111"/>
      <c r="J35" s="111"/>
      <c r="K35" s="111"/>
      <c r="L35" s="111"/>
      <c r="M35" s="111"/>
    </row>
    <row r="36" spans="1:13" ht="15" customHeight="1">
      <c r="A36" s="111"/>
      <c r="B36" s="111"/>
      <c r="C36" s="111"/>
      <c r="D36" s="111"/>
      <c r="E36" s="111"/>
      <c r="F36" s="111"/>
      <c r="G36" s="111"/>
      <c r="H36" s="111"/>
      <c r="I36" s="111"/>
      <c r="J36" s="111"/>
      <c r="K36" s="111"/>
      <c r="L36" s="111"/>
      <c r="M36" s="111"/>
    </row>
  </sheetData>
  <mergeCells count="18">
    <mergeCell ref="A27:M29"/>
    <mergeCell ref="A30:M32"/>
    <mergeCell ref="A34:M36"/>
    <mergeCell ref="K7:K8"/>
    <mergeCell ref="D7:D8"/>
    <mergeCell ref="A2:N3"/>
    <mergeCell ref="A7:A9"/>
    <mergeCell ref="B7:B9"/>
    <mergeCell ref="C7:C9"/>
    <mergeCell ref="M7:M9"/>
    <mergeCell ref="N7:N9"/>
    <mergeCell ref="G7:G8"/>
    <mergeCell ref="J7:J8"/>
    <mergeCell ref="F7:F9"/>
    <mergeCell ref="I7:I9"/>
    <mergeCell ref="L7:L9"/>
    <mergeCell ref="E7:E8"/>
    <mergeCell ref="H7:H8"/>
  </mergeCells>
  <phoneticPr fontId="0" type="noConversion"/>
  <pageMargins left="0.15748031496062992" right="0.15748031496062992" top="0.62992125984251968" bottom="0.6692913385826772" header="0.51181102362204722" footer="0.62992125984251968"/>
  <pageSetup paperSize="9" scale="62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2:U23"/>
  <sheetViews>
    <sheetView tabSelected="1" topLeftCell="C1" zoomScale="80" zoomScaleNormal="80" workbookViewId="0">
      <selection activeCell="M8" sqref="M8"/>
    </sheetView>
  </sheetViews>
  <sheetFormatPr defaultRowHeight="20.25"/>
  <cols>
    <col min="1" max="1" width="8.42578125" style="9" customWidth="1"/>
    <col min="2" max="2" width="36.28515625" style="21" customWidth="1"/>
    <col min="3" max="3" width="15.140625" style="9" customWidth="1"/>
    <col min="4" max="4" width="15" style="9" customWidth="1"/>
    <col min="5" max="6" width="15.7109375" style="9" customWidth="1"/>
    <col min="7" max="7" width="15" style="9" customWidth="1"/>
    <col min="8" max="8" width="17" style="9" customWidth="1"/>
    <col min="9" max="9" width="18.140625" style="9" customWidth="1"/>
    <col min="10" max="10" width="17" style="9" customWidth="1"/>
    <col min="11" max="11" width="17.7109375" style="9" customWidth="1"/>
    <col min="12" max="12" width="16.28515625" style="9" customWidth="1"/>
    <col min="13" max="13" width="13.28515625" style="9" customWidth="1"/>
    <col min="14" max="14" width="14" style="9" customWidth="1"/>
    <col min="15" max="15" width="16.7109375" style="9" customWidth="1"/>
    <col min="16" max="16" width="13.7109375" style="9" customWidth="1"/>
    <col min="17" max="17" width="14.7109375" style="9" customWidth="1"/>
    <col min="18" max="18" width="19.42578125" style="9" customWidth="1"/>
    <col min="19" max="19" width="15.5703125" style="9" customWidth="1"/>
    <col min="20" max="20" width="15.28515625" style="9" customWidth="1"/>
    <col min="21" max="21" width="19" style="9" customWidth="1"/>
    <col min="22" max="16384" width="9.140625" style="9"/>
  </cols>
  <sheetData>
    <row r="2" spans="1:21" ht="18">
      <c r="A2" s="120" t="s">
        <v>78</v>
      </c>
      <c r="B2" s="120"/>
      <c r="C2" s="120"/>
      <c r="D2" s="120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2"/>
      <c r="S2" s="122"/>
      <c r="T2" s="122"/>
      <c r="U2" s="122"/>
    </row>
    <row r="3" spans="1:21" ht="18">
      <c r="A3" s="120"/>
      <c r="B3" s="120"/>
      <c r="C3" s="120"/>
      <c r="D3" s="120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2"/>
      <c r="S3" s="122"/>
      <c r="T3" s="122"/>
      <c r="U3" s="122"/>
    </row>
    <row r="5" spans="1:21" s="20" customFormat="1" ht="162.75" customHeight="1">
      <c r="A5" s="117" t="s">
        <v>0</v>
      </c>
      <c r="B5" s="115" t="s">
        <v>14</v>
      </c>
      <c r="C5" s="113" t="s">
        <v>63</v>
      </c>
      <c r="D5" s="119" t="s">
        <v>64</v>
      </c>
      <c r="E5" s="119" t="s">
        <v>65</v>
      </c>
      <c r="F5" s="119" t="s">
        <v>16</v>
      </c>
      <c r="G5" s="123" t="s">
        <v>17</v>
      </c>
      <c r="H5" s="119" t="s">
        <v>53</v>
      </c>
      <c r="I5" s="119" t="s">
        <v>54</v>
      </c>
      <c r="J5" s="119" t="s">
        <v>68</v>
      </c>
      <c r="K5" s="119" t="s">
        <v>18</v>
      </c>
      <c r="L5" s="123" t="s">
        <v>25</v>
      </c>
      <c r="M5" s="123" t="s">
        <v>21</v>
      </c>
      <c r="N5" s="119" t="s">
        <v>22</v>
      </c>
      <c r="O5" s="123" t="s">
        <v>67</v>
      </c>
      <c r="P5" s="119" t="s">
        <v>23</v>
      </c>
      <c r="Q5" s="119" t="s">
        <v>24</v>
      </c>
      <c r="R5" s="113" t="s">
        <v>66</v>
      </c>
      <c r="S5" s="113" t="s">
        <v>41</v>
      </c>
      <c r="T5" s="123" t="s">
        <v>27</v>
      </c>
      <c r="U5" s="119" t="s">
        <v>26</v>
      </c>
    </row>
    <row r="6" spans="1:21" s="20" customFormat="1" ht="189" customHeight="1">
      <c r="A6" s="118"/>
      <c r="B6" s="116"/>
      <c r="C6" s="124"/>
      <c r="D6" s="119"/>
      <c r="E6" s="119"/>
      <c r="F6" s="119"/>
      <c r="G6" s="123"/>
      <c r="H6" s="119"/>
      <c r="I6" s="119"/>
      <c r="J6" s="119"/>
      <c r="K6" s="119"/>
      <c r="L6" s="123"/>
      <c r="M6" s="123"/>
      <c r="N6" s="119"/>
      <c r="O6" s="123"/>
      <c r="P6" s="119"/>
      <c r="Q6" s="119"/>
      <c r="R6" s="124"/>
      <c r="S6" s="114"/>
      <c r="T6" s="123"/>
      <c r="U6" s="119"/>
    </row>
    <row r="7" spans="1:21" ht="25.5">
      <c r="A7" s="37">
        <v>1</v>
      </c>
      <c r="B7" s="47" t="s">
        <v>50</v>
      </c>
      <c r="C7" s="52">
        <v>11149</v>
      </c>
      <c r="D7" s="52"/>
      <c r="E7" s="39"/>
      <c r="F7" s="40">
        <f>D7/C7</f>
        <v>0</v>
      </c>
      <c r="G7" s="41">
        <f>(1+0.25*F7)/(1+0.25*$F$17)</f>
        <v>0.93018964786060243</v>
      </c>
      <c r="H7" s="56">
        <f>98.07+169.29</f>
        <v>267.36</v>
      </c>
      <c r="I7" s="56">
        <v>4767.13</v>
      </c>
      <c r="J7" s="56">
        <v>7164.95</v>
      </c>
      <c r="K7" s="41">
        <f>0.2*H7*$C$17/($H$7*$C$7+$H$8*$C$8+$H$9*$C$9+$H$10*$C$10+$H$11*$C$11+$H$12*$C$12+$H$13*$C$13+$H$14*$C$14+$H$15*$C$15+$H$16*$C$16)+0.65*I7*$C$17/($I$7*$C$7+$I$8*$C$8+$I$9*$C$9+$I$10*$C$10+$I$11*$C$11+$I$12*$C$12+$I$13*$C$13+$I$14*$C$14+$I$15*$C$15+$I$16*$C$16)+0.15*J7*$C$17/($J$7*$C$7+$J$8*$C$8+$J$9*$C$9+$J$10*$C$10+$J$11*$C$11+$J$12*$C$12+$J$13*$C$13+$J$14*$C$14+$J$15*$C$15+$J$16*$C$16)</f>
        <v>1.1218900733217942</v>
      </c>
      <c r="L7" s="41">
        <f>параметры!$B$9*ИБР!G7+параметры!$B$10*ИБР!K7+1-параметры!$B$9-параметры!$B$10</f>
        <v>0.96765569272688357</v>
      </c>
      <c r="M7" s="84">
        <v>0.8</v>
      </c>
      <c r="N7" s="41">
        <f>M7+(1-M7)*(AVERAGE($C$7:$C$16))/C7</f>
        <v>0.85606960265494669</v>
      </c>
      <c r="O7" s="56">
        <v>319.60000000000002</v>
      </c>
      <c r="P7" s="41">
        <f>(O7/C7)/($O$17/$C$17)</f>
        <v>1.041912030264605</v>
      </c>
      <c r="Q7" s="41">
        <f>(1+E7/C7)/(1+$E$17/$C$17)</f>
        <v>0.92811117379814112</v>
      </c>
      <c r="R7" s="85">
        <v>78.900000000000006</v>
      </c>
      <c r="S7" s="41">
        <f>(R7/C7)/($R$17/$C$17)</f>
        <v>0.65210667002878675</v>
      </c>
      <c r="T7" s="41">
        <f>параметры!$B$15*ИБР!N7+параметры!$B$16*ИБР!P7+параметры!$B$18*ИБР!Q7+параметры!$B$17*ИБР!S7</f>
        <v>0.86787982785568185</v>
      </c>
      <c r="U7" s="41">
        <f>L7*T7*$C$17/SUMPRODUCT($L$7:$L$16,$T$7:$T$16,$C$7:$C$16)</f>
        <v>0.8353085232302353</v>
      </c>
    </row>
    <row r="8" spans="1:21" ht="25.5">
      <c r="A8" s="37">
        <v>2</v>
      </c>
      <c r="B8" s="47" t="s">
        <v>2</v>
      </c>
      <c r="C8" s="52">
        <v>2980</v>
      </c>
      <c r="D8" s="52">
        <v>27</v>
      </c>
      <c r="E8" s="39">
        <v>27</v>
      </c>
      <c r="F8" s="40">
        <f t="shared" ref="F8:F17" si="0">D8/C8</f>
        <v>9.0604026845637585E-3</v>
      </c>
      <c r="G8" s="41">
        <f t="shared" ref="G8:G17" si="1">(1+0.25*F8)/(1+0.25*$F$17)</f>
        <v>0.93229662105625988</v>
      </c>
      <c r="H8" s="56">
        <v>95.75</v>
      </c>
      <c r="I8" s="56">
        <v>4107.46</v>
      </c>
      <c r="J8" s="56">
        <v>7164.95</v>
      </c>
      <c r="K8" s="41">
        <f t="shared" ref="K8:K16" si="2">0.2*H8*$C$17/($H$7*$C$7+$H$8*$C$8+$H$9*$C$9+$H$10*$C$10+$H$11*$C$11+$H$12*$C$12+$H$13*$C$13+$H$14*$C$14+$H$15*$C$15+$H$16*$C$16)+0.65*I8*$C$17/($I$7*$C$7+$I$8*$C$8+$I$9*$C$9+$I$10*$C$10+$I$11*$C$11+$I$12*$C$12+$I$13*$C$13+$I$14*$C$14+$I$15*$C$15+$I$16*$C$16)+0.15*J8*$C$17/($J$7*$C$7+$J$8*$C$8+$J$9*$C$9+$J$10*$C$10+$J$11*$C$11+$J$12*$C$12+$J$13*$C$13+$J$14*$C$14+$J$15*$C$15+$J$16*$C$16)</f>
        <v>0.83073397242322988</v>
      </c>
      <c r="L8" s="41">
        <f>параметры!$B$9*ИБР!G8+параметры!$B$10*ИБР!K8+1-параметры!$B$9-параметры!$B$10</f>
        <v>0.94725079437859572</v>
      </c>
      <c r="M8" s="84">
        <f>$M$7</f>
        <v>0.8</v>
      </c>
      <c r="N8" s="41">
        <f t="shared" ref="N8:N16" si="3">M8+(1-M8)*(AVERAGE($C$7:$C$16))/C8</f>
        <v>1.009771812080537</v>
      </c>
      <c r="O8" s="56">
        <v>100.42</v>
      </c>
      <c r="P8" s="41">
        <f t="shared" ref="P8:P17" si="4">(O8/C8)/($O$17/$C$17)</f>
        <v>1.2247971026878026</v>
      </c>
      <c r="Q8" s="41">
        <f t="shared" ref="Q8:Q17" si="5">(1+E8/C8)/(1+$E$17/$C$17)</f>
        <v>0.93652023476879542</v>
      </c>
      <c r="R8" s="85">
        <v>38.799999999999997</v>
      </c>
      <c r="S8" s="41">
        <f t="shared" ref="S8:S17" si="6">(R8/C8)/($R$17/$C$17)</f>
        <v>1.1997562365455234</v>
      </c>
      <c r="T8" s="41">
        <f>параметры!$B$15*ИБР!N8+параметры!$B$16*ИБР!P8+параметры!$B$18*ИБР!Q8+параметры!$B$17*ИБР!S8</f>
        <v>1.0051718135760004</v>
      </c>
      <c r="U8" s="41">
        <f t="shared" ref="U8:U16" si="7">L8*T8*$C$17/SUMPRODUCT($L$7:$L$16,$T$7:$T$16,$C$7:$C$16)</f>
        <v>0.94704745812368085</v>
      </c>
    </row>
    <row r="9" spans="1:21" ht="25.5">
      <c r="A9" s="37">
        <v>3</v>
      </c>
      <c r="B9" s="47" t="s">
        <v>3</v>
      </c>
      <c r="C9" s="52">
        <v>1507</v>
      </c>
      <c r="D9" s="52"/>
      <c r="E9" s="39"/>
      <c r="F9" s="40">
        <f t="shared" si="0"/>
        <v>0</v>
      </c>
      <c r="G9" s="41">
        <f t="shared" si="1"/>
        <v>0.93018964786060243</v>
      </c>
      <c r="H9" s="56">
        <v>73.12</v>
      </c>
      <c r="I9" s="56">
        <v>7518.58</v>
      </c>
      <c r="J9" s="56">
        <v>7164.95</v>
      </c>
      <c r="K9" s="41">
        <f t="shared" si="2"/>
        <v>1.2771801770020572</v>
      </c>
      <c r="L9" s="41">
        <f>параметры!$B$9*ИБР!G9+параметры!$B$10*ИБР!K9+1-параметры!$B$9-параметры!$B$10</f>
        <v>0.97920537850526568</v>
      </c>
      <c r="M9" s="84">
        <f t="shared" ref="M9:M16" si="8">$M$7</f>
        <v>0.8</v>
      </c>
      <c r="N9" s="41">
        <f t="shared" si="3"/>
        <v>1.2148108825481088</v>
      </c>
      <c r="O9" s="56">
        <v>42.56</v>
      </c>
      <c r="P9" s="41">
        <f t="shared" si="4"/>
        <v>1.0264754439936921</v>
      </c>
      <c r="Q9" s="41">
        <f t="shared" si="5"/>
        <v>0.92811117379814112</v>
      </c>
      <c r="R9" s="85">
        <v>18.5</v>
      </c>
      <c r="S9" s="41">
        <f t="shared" si="6"/>
        <v>1.131191233363799</v>
      </c>
      <c r="T9" s="41">
        <f>параметры!$B$15*ИБР!N9+параметры!$B$16*ИБР!P9+параметры!$B$18*ИБР!Q9+параметры!$B$17*ИБР!S9</f>
        <v>1.0981145114514446</v>
      </c>
      <c r="U9" s="41">
        <f t="shared" si="7"/>
        <v>1.0695174720016256</v>
      </c>
    </row>
    <row r="10" spans="1:21" ht="25.5">
      <c r="A10" s="37">
        <v>4</v>
      </c>
      <c r="B10" s="47" t="s">
        <v>4</v>
      </c>
      <c r="C10" s="52">
        <v>2758</v>
      </c>
      <c r="D10" s="52"/>
      <c r="E10" s="39"/>
      <c r="F10" s="40">
        <f t="shared" si="0"/>
        <v>0</v>
      </c>
      <c r="G10" s="41">
        <f t="shared" si="1"/>
        <v>0.93018964786060243</v>
      </c>
      <c r="H10" s="56">
        <v>0</v>
      </c>
      <c r="I10" s="56">
        <v>0</v>
      </c>
      <c r="J10" s="56">
        <v>7164.95</v>
      </c>
      <c r="K10" s="41">
        <f t="shared" si="2"/>
        <v>0.14999999999999997</v>
      </c>
      <c r="L10" s="41">
        <f>параметры!$B$9*ИБР!G10+параметры!$B$10*ИБР!K10+1-параметры!$B$9-параметры!$B$10</f>
        <v>0.89537146667531609</v>
      </c>
      <c r="M10" s="84">
        <f t="shared" si="8"/>
        <v>0.8</v>
      </c>
      <c r="N10" s="41">
        <f t="shared" si="3"/>
        <v>1.0266569978245106</v>
      </c>
      <c r="O10" s="56">
        <v>60.99</v>
      </c>
      <c r="P10" s="41">
        <f t="shared" si="4"/>
        <v>0.80375663104348483</v>
      </c>
      <c r="Q10" s="41">
        <f t="shared" si="5"/>
        <v>0.92811117379814112</v>
      </c>
      <c r="R10" s="85">
        <v>28.1</v>
      </c>
      <c r="S10" s="41">
        <f t="shared" si="6"/>
        <v>0.93883573686154842</v>
      </c>
      <c r="T10" s="41">
        <f>параметры!$B$15*ИБР!N10+параметры!$B$16*ИБР!P10+параметры!$B$18*ИБР!Q10+параметры!$B$17*ИБР!S10</f>
        <v>0.97761156308770847</v>
      </c>
      <c r="U10" s="41">
        <f t="shared" si="7"/>
        <v>0.87063484117264378</v>
      </c>
    </row>
    <row r="11" spans="1:21" ht="25.5">
      <c r="A11" s="37">
        <v>5</v>
      </c>
      <c r="B11" s="47" t="s">
        <v>5</v>
      </c>
      <c r="C11" s="52">
        <v>4410</v>
      </c>
      <c r="D11" s="52">
        <v>904</v>
      </c>
      <c r="E11" s="39">
        <v>904</v>
      </c>
      <c r="F11" s="40">
        <f t="shared" si="0"/>
        <v>0.20498866213151928</v>
      </c>
      <c r="G11" s="41">
        <f t="shared" si="1"/>
        <v>0.97785923072148606</v>
      </c>
      <c r="H11" s="56">
        <f>105.83+183.56</f>
        <v>289.39</v>
      </c>
      <c r="I11" s="56">
        <v>5119.13</v>
      </c>
      <c r="J11" s="56">
        <v>7164.95</v>
      </c>
      <c r="K11" s="41">
        <f t="shared" si="2"/>
        <v>1.1963167697548043</v>
      </c>
      <c r="L11" s="41">
        <f>параметры!$B$9*ИБР!G11+параметры!$B$10*ИБР!K11+1-параметры!$B$9-параметры!$B$10</f>
        <v>1.0014676530988444</v>
      </c>
      <c r="M11" s="84">
        <f t="shared" si="8"/>
        <v>0.8</v>
      </c>
      <c r="N11" s="41">
        <f t="shared" si="3"/>
        <v>0.94175056689342407</v>
      </c>
      <c r="O11" s="56">
        <v>104.6</v>
      </c>
      <c r="P11" s="41">
        <f t="shared" si="4"/>
        <v>0.86209135979139206</v>
      </c>
      <c r="Q11" s="41">
        <f t="shared" si="5"/>
        <v>1.1183634416243362</v>
      </c>
      <c r="R11" s="85">
        <v>61.2</v>
      </c>
      <c r="S11" s="41">
        <f t="shared" si="6"/>
        <v>1.2787639584135539</v>
      </c>
      <c r="T11" s="41">
        <f>параметры!$B$15*ИБР!N11+параметры!$B$16*ИБР!P11+параметры!$B$18*ИБР!Q11+параметры!$B$17*ИБР!S11</f>
        <v>1.0354194572565893</v>
      </c>
      <c r="U11" s="41">
        <f>L11*T11*$C$17/SUMPRODUCT($L$7:$L$16,$T$7:$T$16,$C$7:$C$16)</f>
        <v>1.0313823877084294</v>
      </c>
    </row>
    <row r="12" spans="1:21" ht="25.5">
      <c r="A12" s="37">
        <v>6</v>
      </c>
      <c r="B12" s="47" t="s">
        <v>6</v>
      </c>
      <c r="C12" s="52">
        <v>2468</v>
      </c>
      <c r="D12" s="52">
        <v>2468</v>
      </c>
      <c r="E12" s="39">
        <v>128</v>
      </c>
      <c r="F12" s="40">
        <f t="shared" si="0"/>
        <v>1</v>
      </c>
      <c r="G12" s="41">
        <f t="shared" si="1"/>
        <v>1.1627370598257531</v>
      </c>
      <c r="H12" s="56">
        <v>86.01</v>
      </c>
      <c r="I12" s="56">
        <v>7826.56</v>
      </c>
      <c r="J12" s="56">
        <v>7164.95</v>
      </c>
      <c r="K12" s="41">
        <f t="shared" si="2"/>
        <v>1.3348682368964653</v>
      </c>
      <c r="L12" s="41">
        <f>параметры!$B$9*ИБР!G12+параметры!$B$10*ИБР!K12+1-параметры!$B$9-параметры!$B$10</f>
        <v>1.1214376114309474</v>
      </c>
      <c r="M12" s="84">
        <f t="shared" si="8"/>
        <v>0.8</v>
      </c>
      <c r="N12" s="41">
        <f t="shared" si="3"/>
        <v>1.0532901134521879</v>
      </c>
      <c r="O12" s="56">
        <v>63.9</v>
      </c>
      <c r="P12" s="41">
        <f t="shared" si="4"/>
        <v>0.94105693642623478</v>
      </c>
      <c r="Q12" s="41">
        <f t="shared" si="5"/>
        <v>0.9762465993435876</v>
      </c>
      <c r="R12" s="85">
        <v>34.700000000000003</v>
      </c>
      <c r="S12" s="41">
        <f t="shared" si="6"/>
        <v>1.2955729564845111</v>
      </c>
      <c r="T12" s="41">
        <f>параметры!$B$15*ИБР!N12+параметры!$B$16*ИБР!P12+параметры!$B$18*ИБР!Q12+параметры!$B$17*ИБР!S12</f>
        <v>1.0447997355050893</v>
      </c>
      <c r="U12" s="41">
        <f t="shared" si="7"/>
        <v>1.1653989819358512</v>
      </c>
    </row>
    <row r="13" spans="1:21" ht="25.5">
      <c r="A13" s="37">
        <v>7</v>
      </c>
      <c r="B13" s="47" t="s">
        <v>7</v>
      </c>
      <c r="C13" s="52">
        <v>2260</v>
      </c>
      <c r="D13" s="52">
        <v>2260</v>
      </c>
      <c r="E13" s="39">
        <v>875</v>
      </c>
      <c r="F13" s="40">
        <f t="shared" si="0"/>
        <v>1</v>
      </c>
      <c r="G13" s="41">
        <f t="shared" si="1"/>
        <v>1.1627370598257531</v>
      </c>
      <c r="H13" s="56">
        <f>62.98+79.72</f>
        <v>142.69999999999999</v>
      </c>
      <c r="I13" s="56">
        <v>3558.04</v>
      </c>
      <c r="J13" s="56">
        <v>7164.95</v>
      </c>
      <c r="K13" s="41">
        <f t="shared" si="2"/>
        <v>0.80922590799101046</v>
      </c>
      <c r="L13" s="41">
        <f>параметры!$B$9*ИБР!G13+параметры!$B$10*ИБР!K13+1-параметры!$B$9-параметры!$B$10</f>
        <v>1.0823430163035272</v>
      </c>
      <c r="M13" s="84">
        <f t="shared" si="8"/>
        <v>0.8</v>
      </c>
      <c r="N13" s="41">
        <f t="shared" si="3"/>
        <v>1.0766017699115045</v>
      </c>
      <c r="O13" s="56">
        <v>62.8</v>
      </c>
      <c r="P13" s="41">
        <f t="shared" si="4"/>
        <v>1.009976809723965</v>
      </c>
      <c r="Q13" s="41">
        <f t="shared" si="5"/>
        <v>1.2874462521491914</v>
      </c>
      <c r="R13" s="85">
        <v>25.6</v>
      </c>
      <c r="S13" s="41">
        <f t="shared" si="6"/>
        <v>1.0437802638169977</v>
      </c>
      <c r="T13" s="41">
        <f>параметры!$B$15*ИБР!N13+параметры!$B$16*ИБР!P13+параметры!$B$18*ИБР!Q13+параметры!$B$17*ИБР!S13</f>
        <v>1.1492154435263624</v>
      </c>
      <c r="U13" s="41">
        <f t="shared" si="7"/>
        <v>1.2371798429755834</v>
      </c>
    </row>
    <row r="14" spans="1:21" ht="25.5">
      <c r="A14" s="37">
        <v>8</v>
      </c>
      <c r="B14" s="47" t="s">
        <v>8</v>
      </c>
      <c r="C14" s="52">
        <v>1160</v>
      </c>
      <c r="D14" s="52">
        <v>1160</v>
      </c>
      <c r="E14" s="39"/>
      <c r="F14" s="40">
        <f t="shared" si="0"/>
        <v>1</v>
      </c>
      <c r="G14" s="41">
        <f t="shared" si="1"/>
        <v>1.1627370598257531</v>
      </c>
      <c r="H14" s="56">
        <v>33.26</v>
      </c>
      <c r="I14" s="56">
        <v>4844.79</v>
      </c>
      <c r="J14" s="56">
        <v>7164.95</v>
      </c>
      <c r="K14" s="41">
        <f t="shared" si="2"/>
        <v>0.86020053878803537</v>
      </c>
      <c r="L14" s="41">
        <f>параметры!$B$9*ИБР!G14+параметры!$B$10*ИБР!K14+1-параметры!$B$9-параметры!$B$10</f>
        <v>1.0861342493210984</v>
      </c>
      <c r="M14" s="84">
        <f t="shared" si="8"/>
        <v>0.8</v>
      </c>
      <c r="N14" s="41">
        <f t="shared" si="3"/>
        <v>1.338896551724138</v>
      </c>
      <c r="O14" s="56">
        <v>32.28</v>
      </c>
      <c r="P14" s="41">
        <f t="shared" si="4"/>
        <v>1.0114297743854395</v>
      </c>
      <c r="Q14" s="41">
        <f t="shared" si="5"/>
        <v>0.92811117379814112</v>
      </c>
      <c r="R14" s="85">
        <v>13.6</v>
      </c>
      <c r="S14" s="41">
        <f t="shared" si="6"/>
        <v>1.0803350683148991</v>
      </c>
      <c r="T14" s="41">
        <f>параметры!$B$15*ИБР!N14+параметры!$B$16*ИБР!P14+параметры!$B$18*ИБР!Q14+параметры!$B$17*ИБР!S14</f>
        <v>1.1577045816950333</v>
      </c>
      <c r="U14" s="41">
        <f t="shared" si="7"/>
        <v>1.2506843728189427</v>
      </c>
    </row>
    <row r="15" spans="1:21" ht="25.5">
      <c r="A15" s="37">
        <v>9</v>
      </c>
      <c r="B15" s="47" t="s">
        <v>9</v>
      </c>
      <c r="C15" s="52">
        <v>577</v>
      </c>
      <c r="D15" s="52">
        <v>577</v>
      </c>
      <c r="E15" s="39">
        <v>10</v>
      </c>
      <c r="F15" s="40">
        <f t="shared" si="0"/>
        <v>1</v>
      </c>
      <c r="G15" s="41">
        <f t="shared" si="1"/>
        <v>1.1627370598257531</v>
      </c>
      <c r="H15" s="56">
        <v>48.83</v>
      </c>
      <c r="I15" s="56">
        <v>8909.64</v>
      </c>
      <c r="J15" s="56">
        <v>7164.95</v>
      </c>
      <c r="K15" s="41">
        <f t="shared" si="2"/>
        <v>1.4417126168086352</v>
      </c>
      <c r="L15" s="41">
        <f>параметры!$B$9*ИБР!G15+параметры!$B$10*ИБР!K15+1-параметры!$B$9-параметры!$B$10</f>
        <v>1.1293841513966392</v>
      </c>
      <c r="M15" s="84">
        <f t="shared" si="8"/>
        <v>0.8</v>
      </c>
      <c r="N15" s="41">
        <f t="shared" si="3"/>
        <v>1.8833968804159444</v>
      </c>
      <c r="O15" s="56">
        <v>14.1</v>
      </c>
      <c r="P15" s="41">
        <f t="shared" si="4"/>
        <v>0.88818512784841075</v>
      </c>
      <c r="Q15" s="41">
        <f t="shared" si="5"/>
        <v>0.94419628946188716</v>
      </c>
      <c r="R15" s="85">
        <v>5.7</v>
      </c>
      <c r="S15" s="41">
        <f t="shared" si="6"/>
        <v>0.91028334586834969</v>
      </c>
      <c r="T15" s="41">
        <f>параметры!$B$15*ИБР!N15+параметры!$B$16*ИБР!P15+параметры!$B$18*ИБР!Q15+параметры!$B$17*ИБР!S15</f>
        <v>1.4286618334531884</v>
      </c>
      <c r="U15" s="41">
        <f t="shared" si="7"/>
        <v>1.6048616326169374</v>
      </c>
    </row>
    <row r="16" spans="1:21" ht="25.5">
      <c r="A16" s="37">
        <v>10</v>
      </c>
      <c r="B16" s="47" t="s">
        <v>10</v>
      </c>
      <c r="C16" s="52">
        <v>1987</v>
      </c>
      <c r="D16" s="52">
        <v>1987</v>
      </c>
      <c r="E16" s="39">
        <v>477</v>
      </c>
      <c r="F16" s="40">
        <f t="shared" si="0"/>
        <v>1</v>
      </c>
      <c r="G16" s="41">
        <f t="shared" si="1"/>
        <v>1.1627370598257531</v>
      </c>
      <c r="H16" s="56">
        <v>58.96</v>
      </c>
      <c r="I16" s="56">
        <v>4614.71</v>
      </c>
      <c r="J16" s="56">
        <v>7164.95</v>
      </c>
      <c r="K16" s="41">
        <f t="shared" si="2"/>
        <v>0.85822178547581274</v>
      </c>
      <c r="L16" s="41">
        <f>параметры!$B$9*ИБР!G16+параметры!$B$10*ИБР!K16+1-параметры!$B$9-параметры!$B$10</f>
        <v>1.0859870797433375</v>
      </c>
      <c r="M16" s="84">
        <f t="shared" si="8"/>
        <v>0.8</v>
      </c>
      <c r="N16" s="41">
        <f t="shared" si="3"/>
        <v>1.1146049320583795</v>
      </c>
      <c r="O16" s="56">
        <v>58.7</v>
      </c>
      <c r="P16" s="41">
        <f t="shared" si="4"/>
        <v>1.0737432125022892</v>
      </c>
      <c r="Q16" s="41">
        <f t="shared" si="5"/>
        <v>1.1509139065116356</v>
      </c>
      <c r="R16" s="85">
        <v>34.1</v>
      </c>
      <c r="S16" s="41">
        <f t="shared" si="6"/>
        <v>1.5813720788901444</v>
      </c>
      <c r="T16" s="41">
        <f>параметры!$B$15*ИБР!N16+параметры!$B$16*ИБР!P16+параметры!$B$18*ИБР!Q16+параметры!$B$17*ИБР!S16</f>
        <v>1.1697115683245429</v>
      </c>
      <c r="U16" s="41">
        <f t="shared" si="7"/>
        <v>1.263484464121952</v>
      </c>
    </row>
    <row r="17" spans="1:21" ht="26.25">
      <c r="A17" s="37"/>
      <c r="B17" s="19" t="s">
        <v>11</v>
      </c>
      <c r="C17" s="53">
        <f>C7+C8+C9+C10+C11+C12+C13+C14+C15+C16</f>
        <v>31256</v>
      </c>
      <c r="D17" s="53">
        <f>D7+D8+D9+D10+D11+D12+D13+D14+D15+D16</f>
        <v>9383</v>
      </c>
      <c r="E17" s="53">
        <f>E7+E8+E9+E10+E11+E12+E13+E14+E15+E16</f>
        <v>2421</v>
      </c>
      <c r="F17" s="42">
        <f t="shared" si="0"/>
        <v>0.30019836191451243</v>
      </c>
      <c r="G17" s="43">
        <f t="shared" si="1"/>
        <v>1</v>
      </c>
      <c r="H17" s="54">
        <f>(C7*H7+C8*H8+C9*H9+C10*H10+C11*H11+C12*H12+C13*H13+C14*H14+C15*H15+C16*H16)/C17</f>
        <v>171.84598445098538</v>
      </c>
      <c r="I17" s="54">
        <f>(C7*I7+C8*I8+C9*I9+C10*I10+C11*I11+C12*I12+C13*I13+C14*I14+C15*I15+C16*I16)/C17</f>
        <v>4689.7297945994369</v>
      </c>
      <c r="J17" s="54">
        <f>(C7*J7+C8*J8+C9*J9+C10*J10+C11*J11+C12*J12+C13*J13+C14*J14+C15*J15+C16*J16)/C17</f>
        <v>7164.9500000000007</v>
      </c>
      <c r="K17" s="43">
        <f t="shared" ref="K17" si="9">0.2*H17/$H$17+0.65*I17/$I$17+0.15*J17/$J$17</f>
        <v>1</v>
      </c>
      <c r="L17" s="43">
        <f>параметры!$B$9*ИБР!G17+параметры!$B$10*ИБР!K17+1-параметры!$B$9-параметры!$B$10</f>
        <v>1</v>
      </c>
      <c r="M17" s="84"/>
      <c r="N17" s="41"/>
      <c r="O17" s="55">
        <f>O7+O8+O9+O10+O11+O12+O13+O14+O15+O16</f>
        <v>859.95</v>
      </c>
      <c r="P17" s="43">
        <f t="shared" si="4"/>
        <v>1</v>
      </c>
      <c r="Q17" s="43">
        <f t="shared" si="5"/>
        <v>1</v>
      </c>
      <c r="R17" s="86">
        <f>R7+R8+R9+R10+R11+R12+R13+R14+R15+R16</f>
        <v>339.20000000000005</v>
      </c>
      <c r="S17" s="43">
        <f t="shared" si="6"/>
        <v>1</v>
      </c>
      <c r="T17" s="41"/>
      <c r="U17" s="41"/>
    </row>
    <row r="18" spans="1:21" s="11" customFormat="1">
      <c r="B18" s="46"/>
    </row>
    <row r="19" spans="1:21" ht="15" customHeight="1">
      <c r="C19" s="125" t="s">
        <v>33</v>
      </c>
      <c r="D19" s="126"/>
      <c r="E19" s="126"/>
      <c r="F19" s="126"/>
      <c r="G19" s="126"/>
      <c r="H19" s="126"/>
      <c r="I19" s="126"/>
      <c r="J19" s="126"/>
      <c r="K19" s="111"/>
      <c r="L19" s="111"/>
      <c r="M19" s="111"/>
      <c r="N19" s="111"/>
      <c r="O19" s="111"/>
      <c r="P19" s="111"/>
      <c r="Q19" s="111"/>
    </row>
    <row r="20" spans="1:21" ht="33" customHeight="1">
      <c r="C20" s="126"/>
      <c r="D20" s="126"/>
      <c r="E20" s="126"/>
      <c r="F20" s="126"/>
      <c r="G20" s="126"/>
      <c r="H20" s="126"/>
      <c r="I20" s="126"/>
      <c r="J20" s="126"/>
      <c r="K20" s="111"/>
      <c r="L20" s="111"/>
      <c r="M20" s="111"/>
      <c r="N20" s="111"/>
      <c r="O20" s="111"/>
      <c r="P20" s="111"/>
      <c r="Q20" s="111"/>
    </row>
    <row r="21" spans="1:21" ht="49.5" customHeight="1">
      <c r="C21" s="126"/>
      <c r="D21" s="126"/>
      <c r="E21" s="126"/>
      <c r="F21" s="126"/>
      <c r="G21" s="126"/>
      <c r="H21" s="126"/>
      <c r="I21" s="126"/>
      <c r="J21" s="126"/>
      <c r="K21" s="111"/>
      <c r="L21" s="111"/>
      <c r="M21" s="111"/>
      <c r="N21" s="111"/>
      <c r="O21" s="111"/>
      <c r="P21" s="111"/>
      <c r="Q21" s="111"/>
    </row>
    <row r="22" spans="1:21" ht="66.75" customHeight="1">
      <c r="C22" s="126"/>
      <c r="D22" s="126"/>
      <c r="E22" s="126"/>
      <c r="F22" s="126"/>
      <c r="G22" s="126"/>
      <c r="H22" s="126"/>
      <c r="I22" s="126"/>
      <c r="J22" s="126"/>
      <c r="K22" s="111"/>
      <c r="L22" s="111"/>
      <c r="M22" s="111"/>
      <c r="N22" s="111"/>
      <c r="O22" s="111"/>
      <c r="P22" s="111"/>
      <c r="Q22" s="111"/>
    </row>
    <row r="23" spans="1:21" ht="27.75" customHeight="1"/>
  </sheetData>
  <mergeCells count="23">
    <mergeCell ref="C5:C6"/>
    <mergeCell ref="C19:Q22"/>
    <mergeCell ref="R5:R6"/>
    <mergeCell ref="E5:E6"/>
    <mergeCell ref="F5:F6"/>
    <mergeCell ref="G5:G6"/>
    <mergeCell ref="H5:H6"/>
    <mergeCell ref="S5:S6"/>
    <mergeCell ref="B5:B6"/>
    <mergeCell ref="A5:A6"/>
    <mergeCell ref="D5:D6"/>
    <mergeCell ref="A2:U3"/>
    <mergeCell ref="I5:I6"/>
    <mergeCell ref="T5:T6"/>
    <mergeCell ref="U5:U6"/>
    <mergeCell ref="L5:L6"/>
    <mergeCell ref="Q5:Q6"/>
    <mergeCell ref="O5:O6"/>
    <mergeCell ref="P5:P6"/>
    <mergeCell ref="J5:J6"/>
    <mergeCell ref="K5:K6"/>
    <mergeCell ref="M5:M6"/>
    <mergeCell ref="N5:N6"/>
  </mergeCells>
  <phoneticPr fontId="0" type="noConversion"/>
  <pageMargins left="0.19685039370078741" right="0.23622047244094491" top="0.98425196850393704" bottom="0.62992125984251968" header="0.51181102362204722" footer="0.31496062992125984"/>
  <pageSetup paperSize="9" scale="42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2:N25"/>
  <sheetViews>
    <sheetView zoomScale="73" zoomScaleNormal="73" workbookViewId="0">
      <selection activeCell="I9" sqref="I9:I18"/>
    </sheetView>
  </sheetViews>
  <sheetFormatPr defaultRowHeight="12.75"/>
  <cols>
    <col min="1" max="1" width="7.42578125" style="1" customWidth="1"/>
    <col min="2" max="2" width="38.140625" style="1" customWidth="1"/>
    <col min="3" max="3" width="27" style="1" customWidth="1"/>
    <col min="4" max="5" width="28.7109375" style="1" customWidth="1"/>
    <col min="6" max="6" width="33.140625" style="1" customWidth="1"/>
    <col min="7" max="7" width="37" style="1" customWidth="1"/>
    <col min="8" max="8" width="38.140625" style="1" customWidth="1"/>
    <col min="9" max="9" width="37" style="1" customWidth="1"/>
    <col min="10" max="10" width="11.5703125" style="1" customWidth="1"/>
    <col min="11" max="11" width="9.140625" style="1"/>
    <col min="12" max="12" width="12.140625" style="1" customWidth="1"/>
    <col min="13" max="13" width="9.140625" style="1"/>
    <col min="14" max="14" width="17.140625" style="1" customWidth="1"/>
    <col min="15" max="16384" width="9.140625" style="1"/>
  </cols>
  <sheetData>
    <row r="2" spans="1:14" ht="31.5" customHeight="1">
      <c r="A2" s="127" t="s">
        <v>74</v>
      </c>
      <c r="B2" s="127"/>
      <c r="C2" s="127"/>
      <c r="D2" s="127"/>
      <c r="E2" s="128"/>
      <c r="F2" s="128"/>
      <c r="G2" s="128"/>
      <c r="H2" s="128"/>
      <c r="I2" s="128"/>
    </row>
    <row r="3" spans="1:14">
      <c r="A3" s="127"/>
      <c r="B3" s="127"/>
      <c r="C3" s="127"/>
      <c r="D3" s="127"/>
      <c r="E3" s="128"/>
      <c r="F3" s="128"/>
      <c r="G3" s="128"/>
      <c r="H3" s="128"/>
      <c r="I3" s="128"/>
    </row>
    <row r="4" spans="1:14" ht="18">
      <c r="A4" s="9"/>
      <c r="B4" s="9"/>
      <c r="C4" s="9"/>
      <c r="D4" s="9"/>
      <c r="E4" s="9"/>
      <c r="F4" s="9"/>
      <c r="G4" s="9"/>
      <c r="H4" s="9"/>
      <c r="I4" s="9"/>
    </row>
    <row r="5" spans="1:14" ht="18">
      <c r="A5" s="9"/>
      <c r="B5" s="9"/>
      <c r="C5" s="9"/>
      <c r="D5" s="9"/>
      <c r="E5" s="9"/>
      <c r="F5" s="9"/>
      <c r="G5" s="9"/>
      <c r="H5" s="9"/>
      <c r="I5" s="9"/>
    </row>
    <row r="6" spans="1:14" ht="18">
      <c r="A6" s="9"/>
      <c r="B6" s="9"/>
      <c r="C6" s="9"/>
      <c r="D6" s="9"/>
      <c r="E6" s="9"/>
      <c r="F6" s="9"/>
      <c r="G6" s="9"/>
      <c r="H6" s="9"/>
      <c r="I6" s="9"/>
    </row>
    <row r="7" spans="1:14" s="28" customFormat="1" ht="132.75" customHeight="1">
      <c r="A7" s="130" t="s">
        <v>0</v>
      </c>
      <c r="B7" s="130" t="s">
        <v>14</v>
      </c>
      <c r="C7" s="130" t="s">
        <v>62</v>
      </c>
      <c r="D7" s="129" t="s">
        <v>75</v>
      </c>
      <c r="E7" s="129" t="s">
        <v>28</v>
      </c>
      <c r="F7" s="129" t="s">
        <v>29</v>
      </c>
      <c r="G7" s="134" t="s">
        <v>42</v>
      </c>
      <c r="H7" s="129" t="s">
        <v>76</v>
      </c>
      <c r="I7" s="129" t="s">
        <v>77</v>
      </c>
    </row>
    <row r="8" spans="1:14" s="28" customFormat="1" ht="150" customHeight="1">
      <c r="A8" s="131"/>
      <c r="B8" s="131"/>
      <c r="C8" s="131"/>
      <c r="D8" s="129"/>
      <c r="E8" s="129"/>
      <c r="F8" s="129"/>
      <c r="G8" s="134"/>
      <c r="H8" s="129"/>
      <c r="I8" s="129"/>
    </row>
    <row r="9" spans="1:14" ht="25.5">
      <c r="A9" s="37">
        <v>1</v>
      </c>
      <c r="B9" s="37" t="s">
        <v>1</v>
      </c>
      <c r="C9" s="87">
        <v>11149</v>
      </c>
      <c r="D9" s="85">
        <v>56885.7</v>
      </c>
      <c r="E9" s="41">
        <f>($D$19+параметры!$B$6)/'2 часть дотации'!$D$19</f>
        <v>2.5077872679939746</v>
      </c>
      <c r="F9" s="41">
        <f>ИНП!N10/ИБР!U7</f>
        <v>1.8978719838163949</v>
      </c>
      <c r="G9" s="44">
        <f>($D$19/$C$19)*(E9-F9)*ИБР!U7*'2 часть дотации'!C9</f>
        <v>25646.701568798111</v>
      </c>
      <c r="H9" s="44">
        <f>параметры!$B$6*'2 часть дотации'!G9/SUM($G$9:$G$18)</f>
        <v>25646.701568798104</v>
      </c>
      <c r="I9" s="44">
        <f>'1 часть дотации'!D7+'2 часть дотации'!H9</f>
        <v>45064.63835533509</v>
      </c>
      <c r="J9" s="72"/>
      <c r="L9" s="72"/>
      <c r="N9" s="72"/>
    </row>
    <row r="10" spans="1:14" ht="25.5">
      <c r="A10" s="37">
        <v>2</v>
      </c>
      <c r="B10" s="37" t="s">
        <v>2</v>
      </c>
      <c r="C10" s="87">
        <v>2980</v>
      </c>
      <c r="D10" s="85">
        <v>11723.3</v>
      </c>
      <c r="E10" s="41">
        <f>($D$19+параметры!$B$6)/'2 часть дотации'!$D$19</f>
        <v>2.5077872679939746</v>
      </c>
      <c r="F10" s="41">
        <f>ИНП!N11/ИБР!U8</f>
        <v>0.75224301213013711</v>
      </c>
      <c r="G10" s="44">
        <f>($D$19/$C$19)*(E10-F10)*ИБР!U8*'2 часть дотации'!C10</f>
        <v>22370.668500938125</v>
      </c>
      <c r="H10" s="44">
        <f>параметры!$B$6*'2 часть дотации'!G10/SUM($G$9:$G$18)</f>
        <v>22370.668500938118</v>
      </c>
      <c r="I10" s="44">
        <f>'1 часть дотации'!D8+'2 часть дотации'!H10</f>
        <v>27560.860592056622</v>
      </c>
      <c r="J10" s="72"/>
      <c r="L10" s="72"/>
      <c r="N10" s="72"/>
    </row>
    <row r="11" spans="1:14" ht="25.5">
      <c r="A11" s="37">
        <v>3</v>
      </c>
      <c r="B11" s="37" t="s">
        <v>3</v>
      </c>
      <c r="C11" s="87">
        <v>1507</v>
      </c>
      <c r="D11" s="85">
        <v>5638.6</v>
      </c>
      <c r="E11" s="41">
        <f>($D$19+параметры!$B$6)/'2 часть дотации'!$D$19</f>
        <v>2.5077872679939746</v>
      </c>
      <c r="F11" s="41">
        <f>ИНП!N12/ИБР!U9</f>
        <v>0.62292117535970448</v>
      </c>
      <c r="G11" s="44">
        <f>($D$19/$C$19)*(E11-F11)*ИБР!U9*'2 часть дотации'!C11</f>
        <v>13717.052827503338</v>
      </c>
      <c r="H11" s="44">
        <f>параметры!$B$6*'2 часть дотации'!G11/SUM($G$9:$G$18)</f>
        <v>13717.052827503334</v>
      </c>
      <c r="I11" s="44">
        <f>'1 часть дотации'!D9+'2 часть дотации'!H11</f>
        <v>16341.757351434739</v>
      </c>
      <c r="J11" s="72"/>
      <c r="L11" s="72"/>
      <c r="N11" s="72"/>
    </row>
    <row r="12" spans="1:14" ht="25.5">
      <c r="A12" s="37">
        <v>4</v>
      </c>
      <c r="B12" s="37" t="s">
        <v>4</v>
      </c>
      <c r="C12" s="87">
        <v>2758</v>
      </c>
      <c r="D12" s="85">
        <v>8055.4</v>
      </c>
      <c r="E12" s="41">
        <f>($D$19+параметры!$B$6)/'2 часть дотации'!$D$19</f>
        <v>2.5077872679939746</v>
      </c>
      <c r="F12" s="41">
        <f>ИНП!N13/ИБР!U10</f>
        <v>0.65741949307199044</v>
      </c>
      <c r="G12" s="44">
        <f>($D$19/$C$19)*(E12-F12)*ИБР!U10*'2 часть дотации'!C12</f>
        <v>20061.690879965299</v>
      </c>
      <c r="H12" s="44">
        <f>параметры!$B$6*'2 часть дотации'!G12/SUM($G$9:$G$18)</f>
        <v>20061.690879965292</v>
      </c>
      <c r="I12" s="44">
        <f>'1 часть дотации'!D10+'2 часть дотации'!H12</f>
        <v>24865.231077047451</v>
      </c>
      <c r="J12" s="72"/>
      <c r="L12" s="72"/>
      <c r="N12" s="72"/>
    </row>
    <row r="13" spans="1:14" ht="25.5">
      <c r="A13" s="37">
        <v>5</v>
      </c>
      <c r="B13" s="37" t="s">
        <v>5</v>
      </c>
      <c r="C13" s="87">
        <v>4410</v>
      </c>
      <c r="D13" s="85">
        <v>15981</v>
      </c>
      <c r="E13" s="41">
        <f>($D$19+параметры!$B$6)/'2 часть дотации'!$D$19</f>
        <v>2.5077872679939746</v>
      </c>
      <c r="F13" s="41">
        <f>ИНП!N14/ИБР!U11</f>
        <v>0.63634073168438821</v>
      </c>
      <c r="G13" s="44">
        <f>($D$19/$C$19)*(E13-F13)*ИБР!U11*'2 часть дотации'!C13</f>
        <v>38433.939162217706</v>
      </c>
      <c r="H13" s="44">
        <f>параметры!$B$6*'2 часть дотации'!G13/SUM($G$9:$G$18)</f>
        <v>38433.939162217699</v>
      </c>
      <c r="I13" s="44">
        <f>'1 часть дотации'!D11+'2 часть дотации'!H13</f>
        <v>46114.726786993742</v>
      </c>
      <c r="J13" s="72"/>
      <c r="L13" s="72"/>
      <c r="N13" s="72"/>
    </row>
    <row r="14" spans="1:14" ht="25.5">
      <c r="A14" s="37">
        <v>6</v>
      </c>
      <c r="B14" s="37" t="s">
        <v>6</v>
      </c>
      <c r="C14" s="87">
        <v>2468</v>
      </c>
      <c r="D14" s="85">
        <v>8827.2000000000007</v>
      </c>
      <c r="E14" s="41">
        <f>($D$19+параметры!$B$6)/'2 часть дотации'!$D$19</f>
        <v>2.5077872679939746</v>
      </c>
      <c r="F14" s="41">
        <f>ИНП!N15/ИБР!U12</f>
        <v>0.52030141351828718</v>
      </c>
      <c r="G14" s="44">
        <f>($D$19/$C$19)*(E14-F14)*ИБР!U12*'2 часть дотации'!C14</f>
        <v>25810.891746449986</v>
      </c>
      <c r="H14" s="44">
        <f>параметры!$B$6*'2 часть дотации'!G14/SUM($G$9:$G$18)</f>
        <v>25810.891746449979</v>
      </c>
      <c r="I14" s="44">
        <f>'1 часть дотации'!D12+'2 часть дотации'!H14</f>
        <v>30109.346136007185</v>
      </c>
      <c r="J14" s="72"/>
      <c r="L14" s="72"/>
      <c r="N14" s="72"/>
    </row>
    <row r="15" spans="1:14" ht="25.5">
      <c r="A15" s="37">
        <v>7</v>
      </c>
      <c r="B15" s="37" t="s">
        <v>7</v>
      </c>
      <c r="C15" s="87">
        <v>2260</v>
      </c>
      <c r="D15" s="85">
        <v>7795.2</v>
      </c>
      <c r="E15" s="41">
        <f>($D$19+параметры!$B$6)/'2 часть дотации'!$D$19</f>
        <v>2.5077872679939746</v>
      </c>
      <c r="F15" s="41">
        <f>ИНП!N16/ИБР!U13</f>
        <v>0.66572012179544005</v>
      </c>
      <c r="G15" s="44">
        <f>($D$19/$C$19)*(E15-F15)*ИБР!U13*'2 часть дотации'!C15</f>
        <v>23255.511964048073</v>
      </c>
      <c r="H15" s="44">
        <f>параметры!$B$6*'2 часть дотации'!G15/SUM($G$9:$G$18)</f>
        <v>23255.511964048066</v>
      </c>
      <c r="I15" s="44">
        <f>'1 часть дотации'!D13+'2 часть дотации'!H15</f>
        <v>27191.697912345993</v>
      </c>
      <c r="J15" s="72"/>
      <c r="L15" s="72"/>
      <c r="N15" s="72"/>
    </row>
    <row r="16" spans="1:14" ht="25.5">
      <c r="A16" s="37">
        <v>8</v>
      </c>
      <c r="B16" s="37" t="s">
        <v>8</v>
      </c>
      <c r="C16" s="87">
        <v>1160</v>
      </c>
      <c r="D16" s="85">
        <v>3093.7</v>
      </c>
      <c r="E16" s="41">
        <f>($D$19+параметры!$B$6)/'2 часть дотации'!$D$19</f>
        <v>2.5077872679939746</v>
      </c>
      <c r="F16" s="41">
        <f>ИНП!N17/ИБР!U14</f>
        <v>0.30853224322081918</v>
      </c>
      <c r="G16" s="44">
        <f>($D$19/$C$19)*(E16-F16)*ИБР!U14*'2 часть дотации'!C16</f>
        <v>14406.566187091703</v>
      </c>
      <c r="H16" s="44">
        <f>параметры!$B$6*'2 часть дотации'!G16/SUM($G$9:$G$18)</f>
        <v>14406.566187091699</v>
      </c>
      <c r="I16" s="44">
        <f>'1 часть дотации'!D14+'2 часть дотации'!H16</f>
        <v>16426.90941719152</v>
      </c>
      <c r="J16" s="72"/>
      <c r="L16" s="72"/>
      <c r="N16" s="72"/>
    </row>
    <row r="17" spans="1:14" ht="25.5">
      <c r="A17" s="37">
        <v>9</v>
      </c>
      <c r="B17" s="37" t="s">
        <v>9</v>
      </c>
      <c r="C17" s="87">
        <v>577</v>
      </c>
      <c r="D17" s="85">
        <v>5374.7</v>
      </c>
      <c r="E17" s="41">
        <f>($D$19+параметры!$B$6)/'2 часть дотации'!$D$19</f>
        <v>2.5077872679939746</v>
      </c>
      <c r="F17" s="41">
        <f>ИНП!N18/ИБР!U15</f>
        <v>0.38421585664299629</v>
      </c>
      <c r="G17" s="44">
        <f>($D$19/$C$19)*(E17-F17)*ИБР!U15*'2 часть дотации'!C17</f>
        <v>8878.9058520811268</v>
      </c>
      <c r="H17" s="44">
        <f>параметры!$B$6*'2 часть дотации'!G17/SUM($G$9:$G$18)</f>
        <v>8878.905852081125</v>
      </c>
      <c r="I17" s="44">
        <f>'1 часть дотации'!D15+'2 часть дотации'!H17</f>
        <v>9883.8524415359498</v>
      </c>
      <c r="J17" s="72"/>
      <c r="L17" s="72"/>
      <c r="N17" s="72"/>
    </row>
    <row r="18" spans="1:14" ht="25.5">
      <c r="A18" s="37">
        <v>10</v>
      </c>
      <c r="B18" s="37" t="s">
        <v>10</v>
      </c>
      <c r="C18" s="87">
        <v>1987</v>
      </c>
      <c r="D18" s="85">
        <v>17753</v>
      </c>
      <c r="E18" s="41">
        <f>($D$19+параметры!$B$6)/'2 часть дотации'!$D$19</f>
        <v>2.5077872679939746</v>
      </c>
      <c r="F18" s="41">
        <f>ИНП!N19/ИБР!U16</f>
        <v>0.72502693331810752</v>
      </c>
      <c r="G18" s="44">
        <f>($D$19/$C$19)*(E18-F18)*ИБР!U16*'2 часть дотации'!C18</f>
        <v>20208.771310906588</v>
      </c>
      <c r="H18" s="44">
        <f>параметры!$B$6*'2 часть дотации'!G18/SUM($G$9:$G$18)</f>
        <v>20208.771310906581</v>
      </c>
      <c r="I18" s="44">
        <f>'1 часть дотации'!D16+'2 часть дотации'!H18</f>
        <v>23669.479930051704</v>
      </c>
      <c r="J18" s="72"/>
      <c r="L18" s="72"/>
      <c r="N18" s="72"/>
    </row>
    <row r="19" spans="1:14" ht="26.25">
      <c r="A19" s="37"/>
      <c r="B19" s="38" t="s">
        <v>11</v>
      </c>
      <c r="C19" s="88">
        <f>C9+C10+C11+C12+C13+C14+C15+C16+C17+C18</f>
        <v>31256</v>
      </c>
      <c r="D19" s="86">
        <f t="shared" ref="D19:H19" si="0">D9+D10+D11+D12+D13+D14+D15+D16+D17+D18</f>
        <v>141127.79999999999</v>
      </c>
      <c r="E19" s="43">
        <f>($D$19+параметры!$B$6)/'2 часть дотации'!$D$19</f>
        <v>2.5077872679939746</v>
      </c>
      <c r="F19" s="41"/>
      <c r="G19" s="45">
        <f t="shared" si="0"/>
        <v>212790.70000000007</v>
      </c>
      <c r="H19" s="45">
        <f t="shared" si="0"/>
        <v>212790.7</v>
      </c>
      <c r="I19" s="45">
        <f>SUM(I9:I18)</f>
        <v>267228.5</v>
      </c>
      <c r="J19" s="72"/>
      <c r="L19" s="72"/>
      <c r="N19" s="72"/>
    </row>
    <row r="20" spans="1:14">
      <c r="D20" s="6"/>
    </row>
    <row r="24" spans="1:14" ht="15" customHeight="1">
      <c r="A24" s="132" t="s">
        <v>30</v>
      </c>
      <c r="B24" s="133"/>
      <c r="C24" s="133"/>
      <c r="D24" s="133"/>
      <c r="E24" s="133"/>
      <c r="F24" s="133"/>
      <c r="G24" s="133"/>
      <c r="H24" s="133"/>
    </row>
    <row r="25" spans="1:14" ht="39.75" customHeight="1">
      <c r="A25" s="133"/>
      <c r="B25" s="133"/>
      <c r="C25" s="133"/>
      <c r="D25" s="133"/>
      <c r="E25" s="133"/>
      <c r="F25" s="133"/>
      <c r="G25" s="133"/>
      <c r="H25" s="133"/>
    </row>
  </sheetData>
  <mergeCells count="11">
    <mergeCell ref="A24:H25"/>
    <mergeCell ref="E7:E8"/>
    <mergeCell ref="F7:F8"/>
    <mergeCell ref="G7:G8"/>
    <mergeCell ref="H7:H8"/>
    <mergeCell ref="A2:I3"/>
    <mergeCell ref="I7:I8"/>
    <mergeCell ref="A7:A8"/>
    <mergeCell ref="B7:B8"/>
    <mergeCell ref="C7:C8"/>
    <mergeCell ref="D7:D8"/>
  </mergeCells>
  <pageMargins left="0.43307086614173229" right="0.27559055118110237" top="0.74803149606299213" bottom="0.74803149606299213" header="0.31496062992125984" footer="0.31496062992125984"/>
  <pageSetup paperSize="9" scale="4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F18"/>
  <sheetViews>
    <sheetView workbookViewId="0">
      <selection activeCell="N14" sqref="N14"/>
    </sheetView>
  </sheetViews>
  <sheetFormatPr defaultRowHeight="12.75"/>
  <cols>
    <col min="1" max="1" width="8.140625" customWidth="1"/>
    <col min="2" max="2" width="26.7109375" customWidth="1"/>
    <col min="3" max="6" width="18.28515625" customWidth="1"/>
  </cols>
  <sheetData>
    <row r="3" spans="1:6" ht="15.75" customHeight="1">
      <c r="A3" s="135" t="s">
        <v>0</v>
      </c>
      <c r="B3" s="137" t="s">
        <v>14</v>
      </c>
      <c r="C3" s="139" t="s">
        <v>94</v>
      </c>
      <c r="D3" s="139"/>
      <c r="E3" s="139"/>
      <c r="F3" s="140" t="s">
        <v>94</v>
      </c>
    </row>
    <row r="4" spans="1:6" ht="119.25" customHeight="1">
      <c r="A4" s="136"/>
      <c r="B4" s="138"/>
      <c r="C4" s="60" t="s">
        <v>55</v>
      </c>
      <c r="D4" s="60" t="s">
        <v>56</v>
      </c>
      <c r="E4" s="61" t="s">
        <v>80</v>
      </c>
      <c r="F4" s="141"/>
    </row>
    <row r="5" spans="1:6" ht="15.75">
      <c r="A5" s="62">
        <v>1</v>
      </c>
      <c r="B5" s="62">
        <v>2</v>
      </c>
      <c r="C5" s="63">
        <v>3</v>
      </c>
      <c r="D5" s="63">
        <v>4</v>
      </c>
      <c r="E5" s="63">
        <v>5</v>
      </c>
      <c r="F5" s="64" t="s">
        <v>57</v>
      </c>
    </row>
    <row r="6" spans="1:6" ht="18">
      <c r="A6" s="65">
        <v>1</v>
      </c>
      <c r="B6" s="65" t="s">
        <v>1</v>
      </c>
      <c r="C6" s="66">
        <v>11313.3</v>
      </c>
      <c r="D6" s="59">
        <v>19417.900000000001</v>
      </c>
      <c r="E6" s="66">
        <f>F6-D6-C6</f>
        <v>14333.438355335089</v>
      </c>
      <c r="F6" s="80">
        <v>45064.63835533509</v>
      </c>
    </row>
    <row r="7" spans="1:6" ht="18">
      <c r="A7" s="65">
        <v>2</v>
      </c>
      <c r="B7" s="65" t="s">
        <v>2</v>
      </c>
      <c r="C7" s="66">
        <v>10868.5</v>
      </c>
      <c r="D7" s="59">
        <v>5190.2</v>
      </c>
      <c r="E7" s="66">
        <f t="shared" ref="E7:E15" si="0">F7-D7-C7</f>
        <v>11502.160592056622</v>
      </c>
      <c r="F7" s="80">
        <v>27560.860592056622</v>
      </c>
    </row>
    <row r="8" spans="1:6" ht="18">
      <c r="A8" s="65">
        <v>3</v>
      </c>
      <c r="B8" s="65" t="s">
        <v>3</v>
      </c>
      <c r="C8" s="66">
        <v>7778.9</v>
      </c>
      <c r="D8" s="59">
        <v>2624.7</v>
      </c>
      <c r="E8" s="66">
        <f t="shared" si="0"/>
        <v>5938.1573514347383</v>
      </c>
      <c r="F8" s="80">
        <v>16341.757351434739</v>
      </c>
    </row>
    <row r="9" spans="1:6" ht="18">
      <c r="A9" s="65">
        <v>4</v>
      </c>
      <c r="B9" s="65" t="s">
        <v>4</v>
      </c>
      <c r="C9" s="66">
        <v>9845.6</v>
      </c>
      <c r="D9" s="59">
        <v>4803.5</v>
      </c>
      <c r="E9" s="66">
        <f>F9-D9-C9</f>
        <v>10216.13107704745</v>
      </c>
      <c r="F9" s="80">
        <v>24865.231077047451</v>
      </c>
    </row>
    <row r="10" spans="1:6" ht="18">
      <c r="A10" s="65">
        <v>5</v>
      </c>
      <c r="B10" s="65" t="s">
        <v>5</v>
      </c>
      <c r="C10" s="66">
        <v>16772.400000000001</v>
      </c>
      <c r="D10" s="59">
        <v>7680.8</v>
      </c>
      <c r="E10" s="66">
        <f t="shared" si="0"/>
        <v>21661.526786993738</v>
      </c>
      <c r="F10" s="80">
        <v>46114.726786993742</v>
      </c>
    </row>
    <row r="11" spans="1:6" ht="18">
      <c r="A11" s="65">
        <v>6</v>
      </c>
      <c r="B11" s="65" t="s">
        <v>6</v>
      </c>
      <c r="C11" s="66">
        <v>12428.1</v>
      </c>
      <c r="D11" s="59">
        <v>4298.5</v>
      </c>
      <c r="E11" s="66">
        <f t="shared" si="0"/>
        <v>13382.746136007185</v>
      </c>
      <c r="F11" s="80">
        <v>30109.346136007185</v>
      </c>
    </row>
    <row r="12" spans="1:6" ht="18">
      <c r="A12" s="65">
        <v>7</v>
      </c>
      <c r="B12" s="65" t="s">
        <v>7</v>
      </c>
      <c r="C12" s="66">
        <v>12413.1</v>
      </c>
      <c r="D12" s="59">
        <v>3936.2</v>
      </c>
      <c r="E12" s="66">
        <f t="shared" si="0"/>
        <v>10842.397912345992</v>
      </c>
      <c r="F12" s="80">
        <v>27191.697912345993</v>
      </c>
    </row>
    <row r="13" spans="1:6" ht="18">
      <c r="A13" s="65">
        <v>8</v>
      </c>
      <c r="B13" s="65" t="s">
        <v>8</v>
      </c>
      <c r="C13" s="66">
        <v>8445.7000000000007</v>
      </c>
      <c r="D13" s="59">
        <v>2020.3</v>
      </c>
      <c r="E13" s="66">
        <f t="shared" si="0"/>
        <v>5960.9094171915203</v>
      </c>
      <c r="F13" s="80">
        <v>16426.90941719152</v>
      </c>
    </row>
    <row r="14" spans="1:6" ht="18">
      <c r="A14" s="65">
        <v>9</v>
      </c>
      <c r="B14" s="65" t="s">
        <v>9</v>
      </c>
      <c r="C14" s="66">
        <v>6505.5</v>
      </c>
      <c r="D14" s="59">
        <v>1005</v>
      </c>
      <c r="E14" s="66">
        <f t="shared" si="0"/>
        <v>2373.3524415359498</v>
      </c>
      <c r="F14" s="80">
        <v>9883.8524415359498</v>
      </c>
    </row>
    <row r="15" spans="1:6" ht="18">
      <c r="A15" s="65">
        <v>10</v>
      </c>
      <c r="B15" s="65" t="s">
        <v>10</v>
      </c>
      <c r="C15" s="66">
        <v>10683.1</v>
      </c>
      <c r="D15" s="59">
        <v>3460.7</v>
      </c>
      <c r="E15" s="66">
        <f t="shared" si="0"/>
        <v>9525.6799300517032</v>
      </c>
      <c r="F15" s="80">
        <v>23669.479930051704</v>
      </c>
    </row>
    <row r="16" spans="1:6" ht="15.75">
      <c r="A16" s="67"/>
      <c r="B16" s="67" t="s">
        <v>11</v>
      </c>
      <c r="C16" s="68">
        <f>SUM(C6:C15)</f>
        <v>107054.20000000001</v>
      </c>
      <c r="D16" s="68">
        <f t="shared" ref="D16" si="1">SUM(D6:D15)</f>
        <v>54437.8</v>
      </c>
      <c r="E16" s="68">
        <f>SUM(E6:E15)</f>
        <v>105736.49999999997</v>
      </c>
      <c r="F16" s="69">
        <f t="shared" ref="F16" si="2">SUM(F6:F15)</f>
        <v>267228.5</v>
      </c>
    </row>
    <row r="18" spans="2:6" ht="15">
      <c r="B18" s="70"/>
      <c r="C18" s="58"/>
      <c r="D18" s="58"/>
      <c r="E18" s="58"/>
      <c r="F18" s="58"/>
    </row>
  </sheetData>
  <mergeCells count="4">
    <mergeCell ref="A3:A4"/>
    <mergeCell ref="B3:B4"/>
    <mergeCell ref="C3:E3"/>
    <mergeCell ref="F3:F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L17"/>
  <sheetViews>
    <sheetView workbookViewId="0">
      <selection activeCell="H17" sqref="H17"/>
    </sheetView>
  </sheetViews>
  <sheetFormatPr defaultRowHeight="12.75"/>
  <cols>
    <col min="2" max="2" width="32.7109375" customWidth="1"/>
    <col min="3" max="3" width="11.140625" customWidth="1"/>
    <col min="4" max="5" width="12.140625" customWidth="1"/>
    <col min="6" max="7" width="13.5703125" customWidth="1"/>
    <col min="8" max="8" width="18.7109375" customWidth="1"/>
    <col min="9" max="9" width="13.5703125" customWidth="1"/>
    <col min="12" max="12" width="12.85546875" customWidth="1"/>
  </cols>
  <sheetData>
    <row r="3" spans="1:12">
      <c r="D3" s="79" t="s">
        <v>88</v>
      </c>
    </row>
    <row r="4" spans="1:12">
      <c r="A4" s="135" t="s">
        <v>0</v>
      </c>
      <c r="B4" s="137" t="s">
        <v>14</v>
      </c>
      <c r="C4" s="137" t="s">
        <v>73</v>
      </c>
      <c r="D4" s="144" t="s">
        <v>89</v>
      </c>
      <c r="E4" s="142" t="s">
        <v>79</v>
      </c>
      <c r="F4" s="144" t="s">
        <v>90</v>
      </c>
      <c r="G4" s="142" t="s">
        <v>91</v>
      </c>
      <c r="H4" s="144" t="s">
        <v>92</v>
      </c>
      <c r="I4" s="142" t="s">
        <v>93</v>
      </c>
    </row>
    <row r="5" spans="1:12" ht="38.25" customHeight="1">
      <c r="A5" s="136"/>
      <c r="B5" s="138"/>
      <c r="C5" s="138"/>
      <c r="D5" s="144"/>
      <c r="E5" s="143"/>
      <c r="F5" s="144"/>
      <c r="G5" s="143"/>
      <c r="H5" s="144"/>
      <c r="I5" s="143"/>
    </row>
    <row r="6" spans="1:12" ht="15.75">
      <c r="A6" s="73">
        <v>1</v>
      </c>
      <c r="B6" s="73">
        <v>2</v>
      </c>
      <c r="C6" s="73"/>
      <c r="D6" s="74"/>
      <c r="E6" s="74"/>
      <c r="F6" s="74"/>
      <c r="G6" s="74"/>
      <c r="H6" s="74"/>
      <c r="I6" s="74"/>
    </row>
    <row r="7" spans="1:12" ht="15">
      <c r="A7" s="65">
        <v>1</v>
      </c>
      <c r="B7" s="65" t="s">
        <v>1</v>
      </c>
      <c r="C7" s="75">
        <v>55546.1</v>
      </c>
      <c r="D7" s="76">
        <v>40565.199999999997</v>
      </c>
      <c r="E7" s="76">
        <f t="shared" ref="E7:E16" si="0">D7-C7</f>
        <v>-14980.900000000001</v>
      </c>
      <c r="F7" s="76">
        <v>45260.9</v>
      </c>
      <c r="G7" s="76">
        <f t="shared" ref="G7:G16" si="1">F7-C7</f>
        <v>-10285.199999999997</v>
      </c>
      <c r="H7" s="76">
        <v>52331.6</v>
      </c>
      <c r="I7" s="76">
        <f t="shared" ref="I7:I16" si="2">H7-C7</f>
        <v>-3214.5</v>
      </c>
      <c r="L7" s="72"/>
    </row>
    <row r="8" spans="1:12" ht="15">
      <c r="A8" s="65">
        <v>2</v>
      </c>
      <c r="B8" s="65" t="s">
        <v>2</v>
      </c>
      <c r="C8" s="75">
        <v>27669.4</v>
      </c>
      <c r="D8" s="76">
        <v>27576.2</v>
      </c>
      <c r="E8" s="76">
        <f t="shared" si="0"/>
        <v>-93.200000000000728</v>
      </c>
      <c r="F8" s="76">
        <v>27544.400000000001</v>
      </c>
      <c r="G8" s="76">
        <f t="shared" si="1"/>
        <v>-125</v>
      </c>
      <c r="H8" s="76">
        <v>27496.7</v>
      </c>
      <c r="I8" s="76">
        <f t="shared" si="2"/>
        <v>-172.70000000000073</v>
      </c>
      <c r="L8" s="72"/>
    </row>
    <row r="9" spans="1:12" ht="15">
      <c r="A9" s="65">
        <v>3</v>
      </c>
      <c r="B9" s="65" t="s">
        <v>3</v>
      </c>
      <c r="C9" s="75">
        <v>16687.400000000001</v>
      </c>
      <c r="D9" s="76">
        <v>17225.3</v>
      </c>
      <c r="E9" s="76">
        <f t="shared" si="0"/>
        <v>537.89999999999782</v>
      </c>
      <c r="F9" s="76">
        <v>16327.5</v>
      </c>
      <c r="G9" s="76">
        <f t="shared" si="1"/>
        <v>-359.90000000000146</v>
      </c>
      <c r="H9" s="76">
        <v>14975.6</v>
      </c>
      <c r="I9" s="76">
        <f t="shared" si="2"/>
        <v>-1711.8000000000011</v>
      </c>
      <c r="L9" s="72"/>
    </row>
    <row r="10" spans="1:12" ht="15">
      <c r="A10" s="65">
        <v>4</v>
      </c>
      <c r="B10" s="65" t="s">
        <v>4</v>
      </c>
      <c r="C10" s="75">
        <v>25790.799999999999</v>
      </c>
      <c r="D10" s="76">
        <v>24996.6</v>
      </c>
      <c r="E10" s="76">
        <f t="shared" si="0"/>
        <v>-794.20000000000073</v>
      </c>
      <c r="F10" s="76">
        <v>24845.9</v>
      </c>
      <c r="G10" s="76">
        <f t="shared" si="1"/>
        <v>-944.89999999999782</v>
      </c>
      <c r="H10" s="76">
        <v>24619</v>
      </c>
      <c r="I10" s="76">
        <f t="shared" si="2"/>
        <v>-1171.7999999999993</v>
      </c>
      <c r="L10" s="72"/>
    </row>
    <row r="11" spans="1:12" ht="15">
      <c r="A11" s="65">
        <v>5</v>
      </c>
      <c r="B11" s="65" t="s">
        <v>5</v>
      </c>
      <c r="C11" s="75">
        <v>42361.599999999999</v>
      </c>
      <c r="D11" s="76">
        <v>45245.9</v>
      </c>
      <c r="E11" s="76">
        <f t="shared" si="0"/>
        <v>2884.3000000000029</v>
      </c>
      <c r="F11" s="76">
        <v>46075.9</v>
      </c>
      <c r="G11" s="76">
        <f t="shared" si="1"/>
        <v>3714.3000000000029</v>
      </c>
      <c r="H11" s="76">
        <v>47325.599999999999</v>
      </c>
      <c r="I11" s="76">
        <f t="shared" si="2"/>
        <v>4964</v>
      </c>
      <c r="L11" s="72"/>
    </row>
    <row r="12" spans="1:12" ht="15">
      <c r="A12" s="65">
        <v>6</v>
      </c>
      <c r="B12" s="65" t="s">
        <v>6</v>
      </c>
      <c r="C12" s="75">
        <v>27793.9</v>
      </c>
      <c r="D12" s="76">
        <v>30457.9</v>
      </c>
      <c r="E12" s="76">
        <f t="shared" si="0"/>
        <v>2664</v>
      </c>
      <c r="F12" s="76">
        <v>30077</v>
      </c>
      <c r="G12" s="76">
        <f t="shared" si="1"/>
        <v>2283.0999999999985</v>
      </c>
      <c r="H12" s="76">
        <v>29503.3</v>
      </c>
      <c r="I12" s="76">
        <f t="shared" si="2"/>
        <v>1709.3999999999978</v>
      </c>
      <c r="L12" s="72"/>
    </row>
    <row r="13" spans="1:12" ht="15">
      <c r="A13" s="65">
        <v>7</v>
      </c>
      <c r="B13" s="65" t="s">
        <v>7</v>
      </c>
      <c r="C13" s="75">
        <v>26432.400000000001</v>
      </c>
      <c r="D13" s="76">
        <v>27668.6</v>
      </c>
      <c r="E13" s="76">
        <f t="shared" si="0"/>
        <v>1236.1999999999971</v>
      </c>
      <c r="F13" s="76">
        <v>27169.8</v>
      </c>
      <c r="G13" s="76">
        <f t="shared" si="1"/>
        <v>737.39999999999782</v>
      </c>
      <c r="H13" s="76">
        <v>26418.7</v>
      </c>
      <c r="I13" s="76">
        <f t="shared" si="2"/>
        <v>-13.700000000000728</v>
      </c>
      <c r="L13" s="72"/>
    </row>
    <row r="14" spans="1:12" ht="15">
      <c r="A14" s="65">
        <v>8</v>
      </c>
      <c r="B14" s="65" t="s">
        <v>8</v>
      </c>
      <c r="C14" s="75">
        <v>16677.3</v>
      </c>
      <c r="D14" s="76">
        <v>17625.2</v>
      </c>
      <c r="E14" s="76">
        <f t="shared" si="0"/>
        <v>947.90000000000146</v>
      </c>
      <c r="F14" s="76">
        <v>16403.400000000001</v>
      </c>
      <c r="G14" s="76">
        <f t="shared" si="1"/>
        <v>-273.89999999999782</v>
      </c>
      <c r="H14" s="76">
        <v>14563.6</v>
      </c>
      <c r="I14" s="76">
        <f t="shared" si="2"/>
        <v>-2113.6999999999989</v>
      </c>
      <c r="L14" s="72"/>
    </row>
    <row r="15" spans="1:12" ht="15">
      <c r="A15" s="65">
        <v>9</v>
      </c>
      <c r="B15" s="65" t="s">
        <v>9</v>
      </c>
      <c r="C15" s="75">
        <v>12918.2</v>
      </c>
      <c r="D15" s="76">
        <v>11535.6</v>
      </c>
      <c r="E15" s="76">
        <f t="shared" si="0"/>
        <v>-1382.6000000000004</v>
      </c>
      <c r="F15" s="76">
        <f>9870.5-0.1</f>
        <v>9870.4</v>
      </c>
      <c r="G15" s="76">
        <f t="shared" si="1"/>
        <v>-3047.8000000000011</v>
      </c>
      <c r="H15" s="76">
        <v>7363.2</v>
      </c>
      <c r="I15" s="76">
        <f t="shared" si="2"/>
        <v>-5555.0000000000009</v>
      </c>
      <c r="L15" s="72"/>
    </row>
    <row r="16" spans="1:12" ht="15">
      <c r="A16" s="65">
        <v>10</v>
      </c>
      <c r="B16" s="65" t="s">
        <v>10</v>
      </c>
      <c r="C16" s="75">
        <v>27033.200000000001</v>
      </c>
      <c r="D16" s="76">
        <v>24332</v>
      </c>
      <c r="E16" s="76">
        <f t="shared" si="0"/>
        <v>-2701.2000000000007</v>
      </c>
      <c r="F16" s="76">
        <v>23653.3</v>
      </c>
      <c r="G16" s="76">
        <f t="shared" si="1"/>
        <v>-3379.9000000000015</v>
      </c>
      <c r="H16" s="76">
        <v>22631.200000000001</v>
      </c>
      <c r="I16" s="76">
        <f t="shared" si="2"/>
        <v>-4402</v>
      </c>
      <c r="L16" s="72"/>
    </row>
    <row r="17" spans="1:9" ht="15.75">
      <c r="A17" s="67"/>
      <c r="B17" s="67" t="s">
        <v>11</v>
      </c>
      <c r="C17" s="77">
        <f>SUM(C7:C16)</f>
        <v>278910.3</v>
      </c>
      <c r="D17" s="78">
        <f>SUM(D7:D16)</f>
        <v>267228.5</v>
      </c>
      <c r="E17" s="76">
        <f t="shared" ref="E17" si="3">D17-C17</f>
        <v>-11681.799999999988</v>
      </c>
      <c r="F17" s="78">
        <f>SUM(F7:F16)</f>
        <v>267228.5</v>
      </c>
      <c r="G17" s="76">
        <f t="shared" ref="G17" si="4">F17-C17</f>
        <v>-11681.799999999988</v>
      </c>
      <c r="H17" s="78">
        <f>SUM(H7:H16)</f>
        <v>267228.5</v>
      </c>
      <c r="I17" s="76">
        <f t="shared" ref="I17" si="5">H17-C17</f>
        <v>-11681.799999999988</v>
      </c>
    </row>
  </sheetData>
  <mergeCells count="9">
    <mergeCell ref="I4:I5"/>
    <mergeCell ref="H4:H5"/>
    <mergeCell ref="A4:A5"/>
    <mergeCell ref="B4:B5"/>
    <mergeCell ref="C4:C5"/>
    <mergeCell ref="D4:D5"/>
    <mergeCell ref="F4:F5"/>
    <mergeCell ref="E4:E5"/>
    <mergeCell ref="G4:G5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</vt:i4>
      </vt:variant>
    </vt:vector>
  </HeadingPairs>
  <TitlesOfParts>
    <vt:vector size="8" baseType="lpstr">
      <vt:lpstr>параметры</vt:lpstr>
      <vt:lpstr>1 часть дотации</vt:lpstr>
      <vt:lpstr>ИНП</vt:lpstr>
      <vt:lpstr>ИБР</vt:lpstr>
      <vt:lpstr>2 часть дотации</vt:lpstr>
      <vt:lpstr>Лист1</vt:lpstr>
      <vt:lpstr>Лист2</vt:lpstr>
      <vt:lpstr>ИБР!Заголовки_для_печати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02-2219</cp:lastModifiedBy>
  <cp:lastPrinted>2017-10-21T05:54:51Z</cp:lastPrinted>
  <dcterms:created xsi:type="dcterms:W3CDTF">1996-10-08T23:32:33Z</dcterms:created>
  <dcterms:modified xsi:type="dcterms:W3CDTF">2017-10-21T06:02:24Z</dcterms:modified>
</cp:coreProperties>
</file>