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2" sheetId="8" r:id="rId6"/>
  </sheets>
  <definedNames>
    <definedName name="_xlnm.Print_Titles" localSheetId="3">ИБР!$A:$B</definedName>
  </definedNames>
  <calcPr calcId="124519"/>
</workbook>
</file>

<file path=xl/calcChain.xml><?xml version="1.0" encoding="utf-8"?>
<calcChain xmlns="http://schemas.openxmlformats.org/spreadsheetml/2006/main">
  <c r="D4" i="5"/>
  <c r="D19"/>
  <c r="D15"/>
  <c r="D11"/>
  <c r="H15" i="3" l="1"/>
  <c r="H13"/>
  <c r="H12"/>
  <c r="H9"/>
  <c r="B4" i="5" l="1"/>
  <c r="B6" s="1"/>
  <c r="B17" l="1"/>
  <c r="B16"/>
  <c r="B15"/>
  <c r="D18"/>
  <c r="B18" s="1"/>
  <c r="B10"/>
  <c r="B9"/>
  <c r="R19" i="3"/>
  <c r="M11"/>
  <c r="M12"/>
  <c r="M13"/>
  <c r="M14"/>
  <c r="M15"/>
  <c r="M16"/>
  <c r="M17"/>
  <c r="M18"/>
  <c r="M10"/>
  <c r="B19" i="5" l="1"/>
  <c r="D19" i="6" l="1"/>
  <c r="C18"/>
  <c r="C17"/>
  <c r="C16"/>
  <c r="C15"/>
  <c r="C14"/>
  <c r="C13"/>
  <c r="C12"/>
  <c r="C11"/>
  <c r="C10"/>
  <c r="C9"/>
  <c r="O19" i="3"/>
  <c r="C19" i="6" l="1"/>
  <c r="E19" i="3"/>
  <c r="K20" i="2"/>
  <c r="H20"/>
  <c r="E20"/>
  <c r="C11"/>
  <c r="C12"/>
  <c r="C13"/>
  <c r="C14"/>
  <c r="C15"/>
  <c r="C16"/>
  <c r="C17"/>
  <c r="C18"/>
  <c r="C19"/>
  <c r="C10"/>
  <c r="C9" i="3"/>
  <c r="C10"/>
  <c r="C11"/>
  <c r="C12"/>
  <c r="C13"/>
  <c r="C14"/>
  <c r="C15"/>
  <c r="C16"/>
  <c r="C17"/>
  <c r="C18"/>
  <c r="C19"/>
  <c r="S19" s="1"/>
  <c r="D20" i="2"/>
  <c r="G20"/>
  <c r="I19" s="1"/>
  <c r="J20"/>
  <c r="C19" i="1"/>
  <c r="D19" i="3"/>
  <c r="C20" i="2" l="1"/>
  <c r="D10" i="1"/>
  <c r="D14"/>
  <c r="D18"/>
  <c r="D13"/>
  <c r="D17"/>
  <c r="D12"/>
  <c r="D16"/>
  <c r="D11"/>
  <c r="D15"/>
  <c r="D9"/>
  <c r="H19" i="3"/>
  <c r="N10"/>
  <c r="S18"/>
  <c r="S17"/>
  <c r="S16"/>
  <c r="S15"/>
  <c r="S14"/>
  <c r="S13"/>
  <c r="S12"/>
  <c r="S11"/>
  <c r="S10"/>
  <c r="S9"/>
  <c r="F11" i="2"/>
  <c r="F12"/>
  <c r="F13"/>
  <c r="F14"/>
  <c r="F15"/>
  <c r="F16"/>
  <c r="F17"/>
  <c r="F18"/>
  <c r="F19"/>
  <c r="F10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P9" i="3"/>
  <c r="E10" i="6"/>
  <c r="E11"/>
  <c r="E12"/>
  <c r="E13"/>
  <c r="E14"/>
  <c r="E15"/>
  <c r="E16"/>
  <c r="E17"/>
  <c r="E18"/>
  <c r="E19"/>
  <c r="E9"/>
  <c r="Q19" i="3"/>
  <c r="P19"/>
  <c r="F19"/>
  <c r="G19" s="1"/>
  <c r="Q18"/>
  <c r="P18"/>
  <c r="N18"/>
  <c r="F18"/>
  <c r="G18" s="1"/>
  <c r="Q17"/>
  <c r="P17"/>
  <c r="N17"/>
  <c r="F17"/>
  <c r="G17" s="1"/>
  <c r="Q16"/>
  <c r="P16"/>
  <c r="N16"/>
  <c r="F16"/>
  <c r="G16" s="1"/>
  <c r="Q15"/>
  <c r="P15"/>
  <c r="N15"/>
  <c r="F15"/>
  <c r="G15" s="1"/>
  <c r="Q14"/>
  <c r="P14"/>
  <c r="N14"/>
  <c r="F14"/>
  <c r="G14" s="1"/>
  <c r="Q13"/>
  <c r="P13"/>
  <c r="N13"/>
  <c r="F13"/>
  <c r="G13" s="1"/>
  <c r="Q12"/>
  <c r="P12"/>
  <c r="N12"/>
  <c r="F12"/>
  <c r="G12" s="1"/>
  <c r="Q11"/>
  <c r="P11"/>
  <c r="N11"/>
  <c r="F11"/>
  <c r="G11" s="1"/>
  <c r="Q10"/>
  <c r="P10"/>
  <c r="F10"/>
  <c r="G10" s="1"/>
  <c r="Q9"/>
  <c r="N9"/>
  <c r="J19"/>
  <c r="I19"/>
  <c r="F9"/>
  <c r="G9" s="1"/>
  <c r="I20" i="2" l="1"/>
  <c r="L20"/>
  <c r="D19" i="1"/>
  <c r="T10" i="3"/>
  <c r="K9"/>
  <c r="L9" s="1"/>
  <c r="K19"/>
  <c r="L19" s="1"/>
  <c r="T9"/>
  <c r="T11"/>
  <c r="T13"/>
  <c r="T14"/>
  <c r="T15"/>
  <c r="T16"/>
  <c r="T18"/>
  <c r="T12"/>
  <c r="T17"/>
  <c r="M10" i="2"/>
  <c r="M19"/>
  <c r="M18"/>
  <c r="M17"/>
  <c r="M16"/>
  <c r="M15"/>
  <c r="M14"/>
  <c r="M13"/>
  <c r="M12"/>
  <c r="M11"/>
  <c r="F20"/>
  <c r="K10" i="3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M20" i="2" l="1"/>
  <c r="N20" s="1"/>
  <c r="N11"/>
  <c r="N12"/>
  <c r="N13"/>
  <c r="N14"/>
  <c r="N15"/>
  <c r="N16"/>
  <c r="N17"/>
  <c r="N18"/>
  <c r="N19"/>
  <c r="U9" i="3"/>
  <c r="U18"/>
  <c r="U17"/>
  <c r="F17" i="6" s="1"/>
  <c r="G17" s="1"/>
  <c r="U16" i="3"/>
  <c r="U15"/>
  <c r="F15" i="6" s="1"/>
  <c r="G15" s="1"/>
  <c r="U14" i="3"/>
  <c r="U13"/>
  <c r="F13" i="6" s="1"/>
  <c r="G13" s="1"/>
  <c r="U12" i="3"/>
  <c r="F12" i="6" s="1"/>
  <c r="G12" s="1"/>
  <c r="U11" i="3"/>
  <c r="F11" i="6" s="1"/>
  <c r="G11" s="1"/>
  <c r="U10" i="3"/>
  <c r="F16" i="6" l="1"/>
  <c r="G16" s="1"/>
  <c r="F10"/>
  <c r="G10" s="1"/>
  <c r="F14"/>
  <c r="G14" s="1"/>
  <c r="F18"/>
  <c r="G18" s="1"/>
  <c r="N10" i="2"/>
  <c r="F9" i="6" s="1"/>
  <c r="G9" s="1"/>
  <c r="G19" l="1"/>
  <c r="H10"/>
  <c r="H11"/>
  <c r="H12"/>
  <c r="H13"/>
  <c r="H14"/>
  <c r="H15"/>
  <c r="H16"/>
  <c r="H17"/>
  <c r="H18"/>
  <c r="H9"/>
  <c r="H19" l="1"/>
  <c r="I9"/>
  <c r="I18" l="1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<sst xmlns="http://schemas.openxmlformats.org/spreadsheetml/2006/main" count="127" uniqueCount="82">
  <si>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</si>
  <si>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</si>
  <si>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</si>
  <si>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</si>
  <si>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</si>
  <si>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</si>
  <si>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</si>
  <si>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</si>
  <si>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</si>
  <si>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</si>
  <si>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</si>
  <si>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</si>
  <si>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</si>
  <si>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>превосходит "усредненный" налоговый потенциал в расчете на одного жителя по всей территории района.</t>
  </si>
  <si>
    <t xml:space="preserve">Индекс налогового потенциала </t>
  </si>
  <si>
    <t>Муниципальные образования</t>
  </si>
  <si>
    <t>Доля других видов расходов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</si>
  <si>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</si>
  <si>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</si>
  <si>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</si>
  <si>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</si>
  <si>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</si>
  <si>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на содержание муниципального жилого фонда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</si>
  <si>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</si>
  <si>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</si>
  <si>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</si>
  <si>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</si>
  <si>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</si>
  <si>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</si>
  <si>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</si>
  <si>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</si>
  <si>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</si>
  <si>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</si>
  <si>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</si>
  <si>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</si>
  <si>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</si>
  <si>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</si>
  <si>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</si>
  <si>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</si>
  <si>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</si>
  <si>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</si>
  <si>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</si>
  <si>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>Объем районного фонда финансовой поддержки поселений, тыс.руб.</t>
  </si>
  <si>
    <t>Объем районного фонда финансовой поддержки поселений, распределяемый на 1-ом этапе, тыс.руб.</t>
  </si>
  <si>
    <t>Объем районного фонда финансовой поддержки поселений, распределяемый на 2-ом этапе, тыс.руб.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</si>
  <si>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</si>
  <si>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</si>
  <si>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</si>
  <si>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</si>
  <si>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</si>
  <si>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</si>
  <si>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Налог на доходы физических лиц (прогноз поступлений на 2014 год), тыс.руб.</t>
  </si>
  <si>
    <t>Налог на имущество физических лиц (прогноз поступлений на 2014 год), тыс.руб.</t>
  </si>
  <si>
    <t>Земельный налог (прогноз поступлений на 2014 год), тыс.руб.</t>
  </si>
  <si>
    <t>Утв.план на 2013 год (без учета целевых средств)</t>
  </si>
  <si>
    <t>Налог на доходы физических лиц (форма 5-НДФЛ за 2012 год), руб.</t>
  </si>
  <si>
    <t>Налог на имущество физических лиц (форма 5-МН за 2012 год), тыс.руб.</t>
  </si>
  <si>
    <t>Земельный налог (форма 5-МН за 2012 год), тыс.руб.</t>
  </si>
  <si>
    <t>Экономически обоснованный тариф на водоснабжение и водоотведение, руб. за куб.м на 2014 год</t>
  </si>
  <si>
    <t>Экономически обоснованный тариф на электроснабжение, за кВТ.час на 2014 год</t>
  </si>
  <si>
    <t>Площадь жилого фонда по состоянию на 01.01.2013 года, тыс.кв.м</t>
  </si>
  <si>
    <t>Расчетный удельный вес расходов на коммунальные услуги (223)</t>
  </si>
  <si>
    <t>Расчетный удельный вес расходов на оплату труда и начисления на выплаты по оплате труда (211, 213)</t>
  </si>
  <si>
    <t xml:space="preserve">Итого расходы </t>
  </si>
  <si>
    <t xml:space="preserve">Доля расходов на муниципальное управление и организацию оказания услуг в области культуры </t>
  </si>
  <si>
    <t>Численность постоянного сельского населения, на 01.01.2013 года /чел.</t>
  </si>
  <si>
    <t>Численность постоянного населения, на 01.01.2013 года/ чел.</t>
  </si>
  <si>
    <t>Численность постоянного населения, проживающего в населенных пунктах с численностью населения не более 500 чел., на 01.01.2013 года /  чел.</t>
  </si>
  <si>
    <t>Протяженность дорог, км на 01.01.2013 года</t>
  </si>
  <si>
    <t>Экономически обоснованный тариф на теплоснабжение, руб. за Гкал. на 2014 год</t>
  </si>
  <si>
    <t>индексация на 5% от уровня 2013 года            307 128,2</t>
  </si>
  <si>
    <t>Часть РФФПП в сумме 50 165,1 тыс.руб. равна объему субвенции на</t>
  </si>
  <si>
    <t>Прогноз налоговых доходов на 2015 год, тыс.руб.</t>
  </si>
  <si>
    <t>Размер второй части дотации на выравнивание бюджетной обеспеченности на 2015 год, тыс.руб.</t>
  </si>
  <si>
    <t>Размер дотации на выравнивание бюджетной обеспеченности на 2015 год, тыс.руб.</t>
  </si>
  <si>
    <t>Расчет размера первой части дотации на 2015 год</t>
  </si>
  <si>
    <t>Параметры распределения районного фонда финансовой поддержки поселений на 2015 год</t>
  </si>
  <si>
    <t>Расчет индекса налогового потенциала поселений на 2015 год</t>
  </si>
  <si>
    <t>Расчет размера второй части дотации на 2015 год</t>
  </si>
  <si>
    <t>Размер первой части дотации на 2015 год, тыс.руб.</t>
  </si>
  <si>
    <t>Численность постоянного населения, чел. на 01.01.2013 года</t>
  </si>
  <si>
    <t>Расчет индекса бюджетных расходов на 2015 год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</si>
</sst>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13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/>
    <xf numFmtId="0" fontId="6" fillId="2" borderId="1" xfId="0" applyFont="1" applyFill="1" applyBorder="1" applyAlignment="1">
      <alignment wrapText="1"/>
    </xf>
    <xf numFmtId="166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/>
    <xf numFmtId="10" fontId="6" fillId="2" borderId="1" xfId="0" applyNumberFormat="1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3" fontId="6" fillId="2" borderId="1" xfId="0" applyNumberFormat="1" applyFont="1" applyFill="1" applyBorder="1"/>
    <xf numFmtId="166" fontId="5" fillId="2" borderId="1" xfId="0" applyNumberFormat="1" applyFont="1" applyFill="1" applyBorder="1"/>
    <xf numFmtId="0" fontId="5" fillId="2" borderId="1" xfId="0" applyFont="1" applyFill="1" applyBorder="1"/>
    <xf numFmtId="3" fontId="5" fillId="2" borderId="1" xfId="0" applyNumberFormat="1" applyFont="1" applyFill="1" applyBorder="1"/>
    <xf numFmtId="0" fontId="9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/>
    <xf numFmtId="166" fontId="6" fillId="2" borderId="1" xfId="0" applyNumberFormat="1" applyFont="1" applyFill="1" applyBorder="1"/>
    <xf numFmtId="164" fontId="6" fillId="2" borderId="1" xfId="0" applyNumberFormat="1" applyFont="1" applyFill="1" applyBorder="1"/>
    <xf numFmtId="166" fontId="5" fillId="3" borderId="1" xfId="0" applyNumberFormat="1" applyFont="1" applyFill="1" applyBorder="1"/>
    <xf numFmtId="164" fontId="5" fillId="2" borderId="1" xfId="0" applyNumberFormat="1" applyFont="1" applyFill="1" applyBorder="1"/>
    <xf numFmtId="0" fontId="11" fillId="2" borderId="1" xfId="0" applyFont="1" applyFill="1" applyBorder="1"/>
    <xf numFmtId="0" fontId="10" fillId="2" borderId="1" xfId="0" applyFont="1" applyFill="1" applyBorder="1"/>
    <xf numFmtId="4" fontId="6" fillId="2" borderId="1" xfId="0" applyNumberFormat="1" applyFont="1" applyFill="1" applyBorder="1"/>
    <xf numFmtId="165" fontId="5" fillId="2" borderId="1" xfId="0" applyNumberFormat="1" applyFont="1" applyFill="1" applyBorder="1"/>
    <xf numFmtId="4" fontId="5" fillId="2" borderId="1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 wrapText="1"/>
    </xf>
    <xf numFmtId="0" fontId="6" fillId="2" borderId="6" xfId="0" applyFont="1" applyFill="1" applyBorder="1" applyAlignment="1"/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8" fillId="0" borderId="0" xfId="0" applyFont="1" applyAlignment="1"/>
    <xf numFmtId="0" fontId="0" fillId="0" borderId="0" xfId="0" applyAlignme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9"/>
  <sheetViews>
    <sheetView zoomScale="75" zoomScaleNormal="75" workbookViewId="0">
      <selection activeCell="G6" sqref="G6"/>
    </sheetView>
  </sheetViews>
  <sheetFormatPr defaultRowHeight="18"/>
  <cols>
    <col min="1" max="1" width="52.85546875" style="7" customWidth="1"/>
    <col min="2" max="2" width="28.7109375" style="7" customWidth="1"/>
    <col min="3" max="3" width="9.140625" style="7"/>
    <col min="4" max="4" width="34" style="7" customWidth="1"/>
    <col min="5" max="5" width="21.5703125" style="7" customWidth="1"/>
    <col min="6" max="6" width="9.140625" style="7"/>
    <col min="7" max="7" width="27.7109375" style="7" customWidth="1"/>
    <col min="8" max="16384" width="9.140625" style="7"/>
  </cols>
  <sheetData>
    <row r="2" spans="1:4" ht="61.5" customHeight="1">
      <c r="A2" s="46" t="s">
        <v>76</v>
      </c>
      <c r="B2" s="47"/>
      <c r="C2" s="47"/>
      <c r="D2" s="47"/>
    </row>
    <row r="3" spans="1:4" ht="20.25">
      <c r="A3" s="10"/>
      <c r="B3" s="10"/>
      <c r="C3" s="10"/>
      <c r="D3" s="10"/>
    </row>
    <row r="4" spans="1:4" ht="60.75">
      <c r="A4" s="11" t="s">
        <v>42</v>
      </c>
      <c r="B4" s="12">
        <f>D4</f>
        <v>322484.61000000004</v>
      </c>
      <c r="C4" s="10"/>
      <c r="D4" s="13">
        <f>307128.2*105%</f>
        <v>322484.61000000004</v>
      </c>
    </row>
    <row r="5" spans="1:4" ht="81">
      <c r="A5" s="11" t="s">
        <v>43</v>
      </c>
      <c r="B5" s="12">
        <v>50165.1</v>
      </c>
      <c r="C5" s="10"/>
      <c r="D5" s="44" t="s">
        <v>70</v>
      </c>
    </row>
    <row r="6" spans="1:4" ht="81">
      <c r="A6" s="11" t="s">
        <v>44</v>
      </c>
      <c r="B6" s="12">
        <f>B4-B5</f>
        <v>272319.51000000007</v>
      </c>
      <c r="C6" s="10"/>
      <c r="D6" s="45"/>
    </row>
    <row r="7" spans="1:4" ht="20.25">
      <c r="A7" s="14"/>
      <c r="B7" s="14"/>
      <c r="C7" s="10"/>
      <c r="D7" s="10"/>
    </row>
    <row r="8" spans="1:4" ht="39" customHeight="1">
      <c r="A8" s="40" t="s">
        <v>24</v>
      </c>
      <c r="B8" s="41"/>
      <c r="C8" s="10"/>
      <c r="D8" s="15" t="s">
        <v>54</v>
      </c>
    </row>
    <row r="9" spans="1:4" ht="60.75">
      <c r="A9" s="11" t="s">
        <v>62</v>
      </c>
      <c r="B9" s="16">
        <f>D9/D11</f>
        <v>0.60112465942412519</v>
      </c>
      <c r="C9" s="10"/>
      <c r="D9" s="13">
        <v>227489.55600000001</v>
      </c>
    </row>
    <row r="10" spans="1:4" ht="40.5">
      <c r="A10" s="11" t="s">
        <v>61</v>
      </c>
      <c r="B10" s="16">
        <f>D10/D11</f>
        <v>4.1851501387670804E-2</v>
      </c>
      <c r="C10" s="10"/>
      <c r="D10" s="13">
        <v>15838.278</v>
      </c>
    </row>
    <row r="11" spans="1:4" ht="20.25">
      <c r="A11" s="11" t="s">
        <v>63</v>
      </c>
      <c r="B11" s="17"/>
      <c r="C11" s="10"/>
      <c r="D11" s="13">
        <f>505768.8-127328.9</f>
        <v>378439.9</v>
      </c>
    </row>
    <row r="12" spans="1:4" ht="20.25">
      <c r="A12" s="10"/>
      <c r="B12" s="10"/>
      <c r="C12" s="10"/>
      <c r="D12" s="18"/>
    </row>
    <row r="13" spans="1:4" ht="20.25">
      <c r="A13" s="10"/>
      <c r="B13" s="10"/>
      <c r="C13" s="10"/>
      <c r="D13" s="18"/>
    </row>
    <row r="14" spans="1:4" ht="40.5" customHeight="1">
      <c r="A14" s="42" t="s">
        <v>23</v>
      </c>
      <c r="B14" s="43"/>
      <c r="C14" s="10"/>
      <c r="D14" s="19" t="s">
        <v>54</v>
      </c>
    </row>
    <row r="15" spans="1:4" ht="60.75">
      <c r="A15" s="11" t="s">
        <v>64</v>
      </c>
      <c r="B15" s="16">
        <f>D15/D19</f>
        <v>0.58495963559867759</v>
      </c>
      <c r="C15" s="10"/>
      <c r="D15" s="13">
        <f>127349.706+94022.36</f>
        <v>221372.06599999999</v>
      </c>
    </row>
    <row r="16" spans="1:4" ht="40.5">
      <c r="A16" s="11" t="s">
        <v>22</v>
      </c>
      <c r="B16" s="16">
        <f>D16/D19</f>
        <v>2.194007555757202E-2</v>
      </c>
      <c r="C16" s="10"/>
      <c r="D16" s="13">
        <v>8303</v>
      </c>
    </row>
    <row r="17" spans="1:4" ht="20.25">
      <c r="A17" s="11" t="s">
        <v>34</v>
      </c>
      <c r="B17" s="16">
        <f>D17/D19</f>
        <v>8.1391388698707504E-2</v>
      </c>
      <c r="C17" s="10"/>
      <c r="D17" s="13">
        <v>30801.749</v>
      </c>
    </row>
    <row r="18" spans="1:4" ht="20.25">
      <c r="A18" s="11" t="s">
        <v>16</v>
      </c>
      <c r="B18" s="16">
        <f>D18/D19</f>
        <v>0.31170890014504293</v>
      </c>
      <c r="C18" s="10"/>
      <c r="D18" s="13">
        <f>D19-D15-D16-D17</f>
        <v>117963.08500000004</v>
      </c>
    </row>
    <row r="19" spans="1:4" ht="20.25">
      <c r="A19" s="11" t="s">
        <v>17</v>
      </c>
      <c r="B19" s="16">
        <f>B15+B16+B17+B18</f>
        <v>1</v>
      </c>
      <c r="C19" s="10"/>
      <c r="D19" s="13">
        <f>D11</f>
        <v>378439.9</v>
      </c>
    </row>
  </sheetData>
  <mergeCells count="4">
    <mergeCell ref="A8:B8"/>
    <mergeCell ref="A14:B14"/>
    <mergeCell ref="D5:D6"/>
    <mergeCell ref="A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H24"/>
  <sheetViews>
    <sheetView workbookViewId="0">
      <selection activeCell="A2" sqref="A2:D3"/>
    </sheetView>
  </sheetViews>
  <sheetFormatPr defaultRowHeight="12.75"/>
  <cols>
    <col min="1" max="1" width="6.140625" style="1" customWidth="1"/>
    <col min="2" max="2" width="37.85546875" style="1" customWidth="1"/>
    <col min="3" max="3" width="21.5703125" style="1" customWidth="1"/>
    <col min="4" max="4" width="25.140625" style="1" customWidth="1"/>
    <col min="5" max="16384" width="9.140625" style="1"/>
  </cols>
  <sheetData>
    <row r="2" spans="1:7" ht="37.5" customHeight="1">
      <c r="A2" s="46" t="s">
        <v>75</v>
      </c>
      <c r="B2" s="46"/>
      <c r="C2" s="46"/>
      <c r="D2" s="46"/>
      <c r="E2" s="10"/>
    </row>
    <row r="3" spans="1:7" ht="20.25">
      <c r="A3" s="46"/>
      <c r="B3" s="46"/>
      <c r="C3" s="46"/>
      <c r="D3" s="46"/>
      <c r="E3" s="10"/>
    </row>
    <row r="4" spans="1:7" ht="20.25">
      <c r="A4" s="10"/>
      <c r="B4" s="10"/>
      <c r="C4" s="10"/>
      <c r="D4" s="10"/>
      <c r="E4" s="10"/>
    </row>
    <row r="5" spans="1:7" ht="20.25">
      <c r="A5" s="10"/>
      <c r="B5" s="10"/>
      <c r="C5" s="10"/>
      <c r="D5" s="10"/>
      <c r="E5" s="10"/>
    </row>
    <row r="6" spans="1:7" ht="20.25">
      <c r="A6" s="10"/>
      <c r="B6" s="10"/>
      <c r="C6" s="10"/>
      <c r="D6" s="10"/>
      <c r="E6" s="10"/>
    </row>
    <row r="7" spans="1:7" s="9" customFormat="1" ht="49.5" customHeight="1">
      <c r="A7" s="48" t="s">
        <v>0</v>
      </c>
      <c r="B7" s="48" t="s">
        <v>15</v>
      </c>
      <c r="C7" s="48" t="s">
        <v>80</v>
      </c>
      <c r="D7" s="48" t="s">
        <v>79</v>
      </c>
      <c r="E7" s="20"/>
    </row>
    <row r="8" spans="1:7" s="9" customFormat="1" ht="110.25" customHeight="1">
      <c r="A8" s="49"/>
      <c r="B8" s="49"/>
      <c r="C8" s="49"/>
      <c r="D8" s="49"/>
      <c r="E8" s="20"/>
    </row>
    <row r="9" spans="1:7" ht="20.25">
      <c r="A9" s="14">
        <v>1</v>
      </c>
      <c r="B9" s="14" t="s">
        <v>1</v>
      </c>
      <c r="C9" s="21">
        <v>11280</v>
      </c>
      <c r="D9" s="22">
        <f>параметры!$B$5*'1 часть дотации'!C9/'1 часть дотации'!$C$19</f>
        <v>17101.738636363636</v>
      </c>
      <c r="E9" s="10"/>
      <c r="G9" s="3"/>
    </row>
    <row r="10" spans="1:7" ht="20.25">
      <c r="A10" s="14">
        <v>2</v>
      </c>
      <c r="B10" s="14" t="s">
        <v>2</v>
      </c>
      <c r="C10" s="21">
        <v>3321</v>
      </c>
      <c r="D10" s="22">
        <f>параметры!$B$5*'1 часть дотации'!C10/'1 часть дотации'!$C$19</f>
        <v>5035.0065612911021</v>
      </c>
      <c r="E10" s="10"/>
      <c r="G10" s="3"/>
    </row>
    <row r="11" spans="1:7" ht="20.25">
      <c r="A11" s="14">
        <v>3</v>
      </c>
      <c r="B11" s="14" t="s">
        <v>3</v>
      </c>
      <c r="C11" s="21">
        <v>1600</v>
      </c>
      <c r="D11" s="22">
        <f>параметры!$B$5*'1 часть дотации'!C11/'1 часть дотации'!$C$19</f>
        <v>2425.7785299806578</v>
      </c>
      <c r="E11" s="10"/>
      <c r="G11" s="3"/>
    </row>
    <row r="12" spans="1:7" ht="20.25">
      <c r="A12" s="14">
        <v>4</v>
      </c>
      <c r="B12" s="14" t="s">
        <v>4</v>
      </c>
      <c r="C12" s="21">
        <v>2944</v>
      </c>
      <c r="D12" s="22">
        <f>параметры!$B$5*'1 часть дотации'!C12/'1 часть дотации'!$C$19</f>
        <v>4463.4324951644103</v>
      </c>
      <c r="E12" s="10"/>
      <c r="G12" s="3"/>
    </row>
    <row r="13" spans="1:7" ht="20.25">
      <c r="A13" s="14">
        <v>5</v>
      </c>
      <c r="B13" s="14" t="s">
        <v>5</v>
      </c>
      <c r="C13" s="21">
        <v>4612</v>
      </c>
      <c r="D13" s="22">
        <f>параметры!$B$5*'1 часть дотации'!C13/'1 часть дотации'!$C$19</f>
        <v>6992.3066126692456</v>
      </c>
      <c r="E13" s="10"/>
      <c r="G13" s="3"/>
    </row>
    <row r="14" spans="1:7" ht="20.25">
      <c r="A14" s="14">
        <v>6</v>
      </c>
      <c r="B14" s="14" t="s">
        <v>6</v>
      </c>
      <c r="C14" s="21">
        <v>2641</v>
      </c>
      <c r="D14" s="22">
        <f>параметры!$B$5*'1 часть дотации'!C14/'1 часть дотации'!$C$19</f>
        <v>4004.0506860493228</v>
      </c>
      <c r="E14" s="10"/>
      <c r="G14" s="3"/>
    </row>
    <row r="15" spans="1:7" ht="20.25">
      <c r="A15" s="14">
        <v>7</v>
      </c>
      <c r="B15" s="14" t="s">
        <v>7</v>
      </c>
      <c r="C15" s="21">
        <v>2611</v>
      </c>
      <c r="D15" s="22">
        <f>параметры!$B$5*'1 часть дотации'!C15/'1 часть дотации'!$C$19</f>
        <v>3958.5673386121857</v>
      </c>
      <c r="E15" s="10"/>
      <c r="G15" s="3"/>
    </row>
    <row r="16" spans="1:7" ht="20.25">
      <c r="A16" s="14">
        <v>8</v>
      </c>
      <c r="B16" s="14" t="s">
        <v>8</v>
      </c>
      <c r="C16" s="21">
        <v>1363</v>
      </c>
      <c r="D16" s="22">
        <f>параметры!$B$5*'1 часть дотации'!C16/'1 часть дотации'!$C$19</f>
        <v>2066.4600852272724</v>
      </c>
      <c r="E16" s="10"/>
      <c r="G16" s="3"/>
    </row>
    <row r="17" spans="1:8" ht="20.25">
      <c r="A17" s="14">
        <v>9</v>
      </c>
      <c r="B17" s="14" t="s">
        <v>9</v>
      </c>
      <c r="C17" s="21">
        <v>617</v>
      </c>
      <c r="D17" s="22">
        <f>параметры!$B$5*'1 часть дотации'!C17/'1 часть дотации'!$C$19</f>
        <v>935.44084562379112</v>
      </c>
      <c r="E17" s="10"/>
      <c r="G17" s="3"/>
    </row>
    <row r="18" spans="1:8" ht="20.25">
      <c r="A18" s="14">
        <v>10</v>
      </c>
      <c r="B18" s="14" t="s">
        <v>10</v>
      </c>
      <c r="C18" s="21">
        <v>2099</v>
      </c>
      <c r="D18" s="22">
        <f>параметры!$B$5*'1 часть дотации'!C18/'1 часть дотации'!$C$19</f>
        <v>3182.318209018375</v>
      </c>
      <c r="E18" s="10"/>
      <c r="G18" s="3"/>
    </row>
    <row r="19" spans="1:8" ht="20.25">
      <c r="A19" s="14"/>
      <c r="B19" s="23" t="s">
        <v>11</v>
      </c>
      <c r="C19" s="24">
        <f>C9+C10+C11+C12+C13+C14+C15+C16+C17+C18</f>
        <v>33088</v>
      </c>
      <c r="D19" s="22">
        <f>D9+D10+D11+D12+D13+D14+D15+D16+D17+D18</f>
        <v>50165.1</v>
      </c>
      <c r="E19" s="10"/>
      <c r="G19" s="3"/>
    </row>
    <row r="20" spans="1:8" ht="20.25">
      <c r="A20" s="10"/>
      <c r="B20" s="10"/>
      <c r="C20" s="20"/>
      <c r="D20" s="10"/>
      <c r="E20" s="10"/>
    </row>
    <row r="21" spans="1:8" ht="20.25">
      <c r="A21" s="10"/>
      <c r="B21" s="10"/>
      <c r="C21" s="10"/>
      <c r="D21" s="10"/>
      <c r="E21" s="10"/>
    </row>
    <row r="22" spans="1:8" ht="15">
      <c r="A22" s="25" t="s">
        <v>71</v>
      </c>
      <c r="B22" s="25"/>
      <c r="C22" s="25"/>
      <c r="D22" s="25"/>
      <c r="E22" s="25"/>
      <c r="F22" s="25"/>
      <c r="G22" s="25"/>
      <c r="H22" s="25"/>
    </row>
    <row r="23" spans="1:8" ht="15">
      <c r="A23" s="25" t="s">
        <v>39</v>
      </c>
      <c r="B23" s="25"/>
      <c r="C23" s="25"/>
      <c r="D23" s="25"/>
      <c r="E23" s="25"/>
      <c r="F23" s="25"/>
      <c r="G23" s="25"/>
      <c r="H23" s="25"/>
    </row>
    <row r="24" spans="1:8" ht="20.25">
      <c r="A24" s="10"/>
      <c r="B24" s="10"/>
      <c r="C24" s="10"/>
      <c r="D24" s="10"/>
      <c r="E24" s="10"/>
    </row>
  </sheetData>
  <mergeCells count="5">
    <mergeCell ref="D7:D8"/>
    <mergeCell ref="A2:D3"/>
    <mergeCell ref="A7:A8"/>
    <mergeCell ref="B7:B8"/>
    <mergeCell ref="C7:C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5"/>
  <sheetViews>
    <sheetView workbookViewId="0">
      <pane xSplit="2" ySplit="9" topLeftCell="C25" activePane="bottomRight" state="frozenSplit"/>
      <selection pane="topRight" activeCell="C1" sqref="C1"/>
      <selection pane="bottomLeft" activeCell="A10" sqref="A10"/>
      <selection pane="bottomRight" activeCell="A27" sqref="A27:I35"/>
    </sheetView>
  </sheetViews>
  <sheetFormatPr defaultRowHeight="12.75"/>
  <cols>
    <col min="1" max="1" width="6.140625" style="1" customWidth="1"/>
    <col min="2" max="2" width="31.42578125" style="1" customWidth="1"/>
    <col min="3" max="3" width="20" style="1" customWidth="1"/>
    <col min="4" max="4" width="22.7109375" style="1" customWidth="1"/>
    <col min="5" max="5" width="19.5703125" style="1" customWidth="1"/>
    <col min="6" max="6" width="20.42578125" style="1" customWidth="1"/>
    <col min="7" max="7" width="18" style="1" customWidth="1"/>
    <col min="8" max="8" width="17.7109375" style="1" customWidth="1"/>
    <col min="9" max="9" width="20" style="1" customWidth="1"/>
    <col min="10" max="10" width="18.5703125" style="1" customWidth="1"/>
    <col min="11" max="12" width="17.5703125" style="1" customWidth="1"/>
    <col min="13" max="13" width="17.7109375" style="1" customWidth="1"/>
    <col min="14" max="14" width="15.85546875" style="1" customWidth="1"/>
    <col min="15" max="16384" width="9.140625" style="1"/>
  </cols>
  <sheetData>
    <row r="2" spans="1:21">
      <c r="A2" s="46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7" spans="1:21" ht="62.25" customHeight="1">
      <c r="A7" s="50" t="s">
        <v>0</v>
      </c>
      <c r="B7" s="50" t="s">
        <v>15</v>
      </c>
      <c r="C7" s="50" t="s">
        <v>18</v>
      </c>
      <c r="D7" s="54" t="s">
        <v>55</v>
      </c>
      <c r="E7" s="55" t="s">
        <v>51</v>
      </c>
      <c r="F7" s="50" t="s">
        <v>45</v>
      </c>
      <c r="G7" s="54" t="s">
        <v>56</v>
      </c>
      <c r="H7" s="55" t="s">
        <v>52</v>
      </c>
      <c r="I7" s="50" t="s">
        <v>46</v>
      </c>
      <c r="J7" s="54" t="s">
        <v>57</v>
      </c>
      <c r="K7" s="55" t="s">
        <v>53</v>
      </c>
      <c r="L7" s="50" t="s">
        <v>47</v>
      </c>
      <c r="M7" s="50" t="s">
        <v>48</v>
      </c>
      <c r="N7" s="50" t="s">
        <v>14</v>
      </c>
      <c r="O7" s="2"/>
      <c r="P7" s="2"/>
      <c r="Q7" s="2"/>
      <c r="R7" s="2"/>
      <c r="S7" s="2"/>
      <c r="T7" s="2"/>
      <c r="U7" s="2"/>
    </row>
    <row r="8" spans="1:21" ht="119.25" customHeight="1">
      <c r="A8" s="51"/>
      <c r="B8" s="51"/>
      <c r="C8" s="51"/>
      <c r="D8" s="54"/>
      <c r="E8" s="55"/>
      <c r="F8" s="51"/>
      <c r="G8" s="54"/>
      <c r="H8" s="55"/>
      <c r="I8" s="51"/>
      <c r="J8" s="54"/>
      <c r="K8" s="55"/>
      <c r="L8" s="51"/>
      <c r="M8" s="51"/>
      <c r="N8" s="51"/>
      <c r="O8" s="2"/>
      <c r="P8" s="2"/>
      <c r="Q8" s="2"/>
      <c r="R8" s="2"/>
      <c r="S8" s="2"/>
      <c r="T8" s="2"/>
      <c r="U8" s="2"/>
    </row>
    <row r="9" spans="1:21" ht="63" customHeight="1">
      <c r="A9" s="52"/>
      <c r="B9" s="52"/>
      <c r="C9" s="52"/>
      <c r="D9" s="26" t="s">
        <v>41</v>
      </c>
      <c r="E9" s="27" t="s">
        <v>40</v>
      </c>
      <c r="F9" s="53"/>
      <c r="G9" s="26" t="s">
        <v>41</v>
      </c>
      <c r="H9" s="27" t="s">
        <v>41</v>
      </c>
      <c r="I9" s="53"/>
      <c r="J9" s="26" t="s">
        <v>41</v>
      </c>
      <c r="K9" s="27" t="s">
        <v>41</v>
      </c>
      <c r="L9" s="53"/>
      <c r="M9" s="52"/>
      <c r="N9" s="53"/>
      <c r="O9" s="2"/>
      <c r="P9" s="2"/>
      <c r="Q9" s="2"/>
      <c r="R9" s="2"/>
      <c r="S9" s="2"/>
      <c r="T9" s="2"/>
      <c r="U9" s="2"/>
    </row>
    <row r="10" spans="1:21" ht="20.25">
      <c r="A10" s="33">
        <v>1</v>
      </c>
      <c r="B10" s="33" t="s">
        <v>1</v>
      </c>
      <c r="C10" s="21">
        <f>'1 часть дотации'!C9</f>
        <v>11280</v>
      </c>
      <c r="D10" s="28">
        <v>284332735</v>
      </c>
      <c r="E10" s="29">
        <v>30692.6</v>
      </c>
      <c r="F10" s="29">
        <f>($E$10/0.1+$E$11/0.1+$E$12/0.1+$E$13/0.1+$E$14/0.1+$E$15/0.1+$E$16/0.1+$E$17/0.1+$E$18/0.1+$E$19/0.1)*0.1*(D10/$D$20)</f>
        <v>29496.636618021588</v>
      </c>
      <c r="G10" s="28">
        <v>3632</v>
      </c>
      <c r="H10" s="29">
        <v>2289</v>
      </c>
      <c r="I10" s="29">
        <f>$H$20*1*(G10/$G$20)</f>
        <v>2458.4344086021506</v>
      </c>
      <c r="J10" s="28">
        <v>14980</v>
      </c>
      <c r="K10" s="29">
        <v>7276.5</v>
      </c>
      <c r="L10" s="29">
        <f>$K$20*1*(J10/$J$20)</f>
        <v>6974.2962111458528</v>
      </c>
      <c r="M10" s="29">
        <f>F10+I10+L10</f>
        <v>38929.367237769591</v>
      </c>
      <c r="N10" s="30">
        <f t="shared" ref="N10:N20" si="0">(M10/C10)/($M$20/$C$20)</f>
        <v>1.7327591080148059</v>
      </c>
    </row>
    <row r="11" spans="1:21" ht="20.25">
      <c r="A11" s="33">
        <v>2</v>
      </c>
      <c r="B11" s="33" t="s">
        <v>2</v>
      </c>
      <c r="C11" s="21">
        <f>'1 часть дотации'!C10</f>
        <v>3321</v>
      </c>
      <c r="D11" s="28">
        <v>39333203</v>
      </c>
      <c r="E11" s="29">
        <v>3878.3</v>
      </c>
      <c r="F11" s="29">
        <f t="shared" ref="F11:F19" si="1">($E$10/0.1+$E$11/0.1+$E$12/0.1+$E$13/0.1+$E$14/0.1+$E$15/0.1+$E$16/0.1+$E$17/0.1+$E$18/0.1+$E$19/0.1)*0.1*(D11/$D$20)</f>
        <v>4080.4207644746798</v>
      </c>
      <c r="G11" s="28">
        <v>827</v>
      </c>
      <c r="H11" s="29">
        <v>572.4</v>
      </c>
      <c r="I11" s="29">
        <f t="shared" ref="I11:I18" si="2">$H$20*1*(G11/$G$20)</f>
        <v>559.7811827956989</v>
      </c>
      <c r="J11" s="28">
        <v>1651</v>
      </c>
      <c r="K11" s="29">
        <v>808.5</v>
      </c>
      <c r="L11" s="29">
        <f t="shared" ref="L11:L19" si="3">$K$20*1*(J11/$J$20)</f>
        <v>768.66241953283065</v>
      </c>
      <c r="M11" s="29">
        <f t="shared" ref="M11:M19" si="4">F11+I11+L11</f>
        <v>5408.8643668032091</v>
      </c>
      <c r="N11" s="30">
        <f t="shared" si="0"/>
        <v>0.81772478416681504</v>
      </c>
    </row>
    <row r="12" spans="1:21" ht="20.25">
      <c r="A12" s="33">
        <v>3</v>
      </c>
      <c r="B12" s="33" t="s">
        <v>3</v>
      </c>
      <c r="C12" s="21">
        <f>'1 часть дотации'!C11</f>
        <v>1600</v>
      </c>
      <c r="D12" s="28">
        <v>16459510</v>
      </c>
      <c r="E12" s="29">
        <v>1494.4</v>
      </c>
      <c r="F12" s="29">
        <f t="shared" si="1"/>
        <v>1707.5071759876419</v>
      </c>
      <c r="G12" s="28">
        <v>260</v>
      </c>
      <c r="H12" s="29">
        <v>81.900000000000006</v>
      </c>
      <c r="I12" s="29">
        <f t="shared" si="2"/>
        <v>175.98924731182797</v>
      </c>
      <c r="J12" s="28">
        <v>1490</v>
      </c>
      <c r="K12" s="29">
        <v>416.3</v>
      </c>
      <c r="L12" s="29">
        <f t="shared" si="3"/>
        <v>693.70503034761828</v>
      </c>
      <c r="M12" s="29">
        <f t="shared" si="4"/>
        <v>2577.2014536470879</v>
      </c>
      <c r="N12" s="30">
        <f t="shared" si="0"/>
        <v>0.8087202732138602</v>
      </c>
    </row>
    <row r="13" spans="1:21" ht="20.25">
      <c r="A13" s="33">
        <v>4</v>
      </c>
      <c r="B13" s="33" t="s">
        <v>4</v>
      </c>
      <c r="C13" s="21">
        <f>'1 часть дотации'!C12</f>
        <v>2944</v>
      </c>
      <c r="D13" s="28">
        <v>26631988</v>
      </c>
      <c r="E13" s="29">
        <v>2382.8000000000002</v>
      </c>
      <c r="F13" s="29">
        <f t="shared" si="1"/>
        <v>2762.79856574204</v>
      </c>
      <c r="G13" s="28">
        <v>502</v>
      </c>
      <c r="H13" s="29">
        <v>241.5</v>
      </c>
      <c r="I13" s="29">
        <f t="shared" si="2"/>
        <v>339.79462365591399</v>
      </c>
      <c r="J13" s="28">
        <v>365</v>
      </c>
      <c r="K13" s="29">
        <v>140.69999999999999</v>
      </c>
      <c r="L13" s="29">
        <f t="shared" si="3"/>
        <v>169.93445374287293</v>
      </c>
      <c r="M13" s="29">
        <f t="shared" si="4"/>
        <v>3272.527643140827</v>
      </c>
      <c r="N13" s="30">
        <f t="shared" si="0"/>
        <v>0.55810442173780694</v>
      </c>
    </row>
    <row r="14" spans="1:21" ht="20.25">
      <c r="A14" s="33">
        <v>5</v>
      </c>
      <c r="B14" s="33" t="s">
        <v>5</v>
      </c>
      <c r="C14" s="21">
        <f>'1 часть дотации'!C13</f>
        <v>4612</v>
      </c>
      <c r="D14" s="28">
        <v>47832058</v>
      </c>
      <c r="E14" s="29">
        <v>3766.4</v>
      </c>
      <c r="F14" s="29">
        <f t="shared" si="1"/>
        <v>4962.0907473707957</v>
      </c>
      <c r="G14" s="28">
        <v>347</v>
      </c>
      <c r="H14" s="29">
        <v>810.6</v>
      </c>
      <c r="I14" s="29">
        <f t="shared" si="2"/>
        <v>234.87795698924734</v>
      </c>
      <c r="J14" s="28">
        <v>2472</v>
      </c>
      <c r="K14" s="29">
        <v>992.2</v>
      </c>
      <c r="L14" s="29">
        <f t="shared" si="3"/>
        <v>1150.8985469928271</v>
      </c>
      <c r="M14" s="29">
        <f t="shared" si="4"/>
        <v>6347.8672513528709</v>
      </c>
      <c r="N14" s="30">
        <f t="shared" si="0"/>
        <v>0.69104842696913216</v>
      </c>
    </row>
    <row r="15" spans="1:21" ht="20.25">
      <c r="A15" s="33">
        <v>6</v>
      </c>
      <c r="B15" s="33" t="s">
        <v>6</v>
      </c>
      <c r="C15" s="21">
        <f>'1 часть дотации'!C14</f>
        <v>2641</v>
      </c>
      <c r="D15" s="28">
        <v>20858350</v>
      </c>
      <c r="E15" s="29">
        <v>2507.6</v>
      </c>
      <c r="F15" s="29">
        <f t="shared" si="1"/>
        <v>2163.8421984774654</v>
      </c>
      <c r="G15" s="28">
        <v>434</v>
      </c>
      <c r="H15" s="29">
        <v>273</v>
      </c>
      <c r="I15" s="29">
        <f t="shared" si="2"/>
        <v>293.76666666666671</v>
      </c>
      <c r="J15" s="28">
        <v>395</v>
      </c>
      <c r="K15" s="29">
        <v>173.3</v>
      </c>
      <c r="L15" s="29">
        <f t="shared" si="3"/>
        <v>183.90166911899945</v>
      </c>
      <c r="M15" s="29">
        <f t="shared" si="4"/>
        <v>2641.5105342631318</v>
      </c>
      <c r="N15" s="30">
        <f t="shared" si="0"/>
        <v>0.50217361568969732</v>
      </c>
    </row>
    <row r="16" spans="1:21" ht="20.25">
      <c r="A16" s="33">
        <v>7</v>
      </c>
      <c r="B16" s="33" t="s">
        <v>7</v>
      </c>
      <c r="C16" s="21">
        <f>'1 часть дотации'!C15</f>
        <v>2611</v>
      </c>
      <c r="D16" s="28">
        <v>21728764</v>
      </c>
      <c r="E16" s="29">
        <v>2128</v>
      </c>
      <c r="F16" s="29">
        <f t="shared" si="1"/>
        <v>2254.1388203744787</v>
      </c>
      <c r="G16" s="28">
        <v>426</v>
      </c>
      <c r="H16" s="29">
        <v>183.8</v>
      </c>
      <c r="I16" s="29">
        <f t="shared" si="2"/>
        <v>288.35161290322583</v>
      </c>
      <c r="J16" s="28">
        <v>74</v>
      </c>
      <c r="K16" s="29">
        <v>87.2</v>
      </c>
      <c r="L16" s="29">
        <f t="shared" si="3"/>
        <v>34.452464594445473</v>
      </c>
      <c r="M16" s="29">
        <f t="shared" si="4"/>
        <v>2576.9428978721498</v>
      </c>
      <c r="N16" s="30">
        <f t="shared" si="0"/>
        <v>0.49552762250036064</v>
      </c>
    </row>
    <row r="17" spans="1:14" ht="20.25">
      <c r="A17" s="33">
        <v>8</v>
      </c>
      <c r="B17" s="33" t="s">
        <v>8</v>
      </c>
      <c r="C17" s="21">
        <f>'1 часть дотации'!C16</f>
        <v>1363</v>
      </c>
      <c r="D17" s="28">
        <v>8103840</v>
      </c>
      <c r="E17" s="29">
        <v>1052.3</v>
      </c>
      <c r="F17" s="29">
        <f t="shared" si="1"/>
        <v>840.69118418808887</v>
      </c>
      <c r="G17" s="28">
        <v>136</v>
      </c>
      <c r="H17" s="29">
        <v>107.1</v>
      </c>
      <c r="I17" s="29">
        <f t="shared" si="2"/>
        <v>92.05591397849463</v>
      </c>
      <c r="J17" s="28">
        <v>49</v>
      </c>
      <c r="K17" s="29">
        <v>93</v>
      </c>
      <c r="L17" s="29">
        <f t="shared" si="3"/>
        <v>22.81311844767335</v>
      </c>
      <c r="M17" s="29">
        <f t="shared" si="4"/>
        <v>955.56021661425689</v>
      </c>
      <c r="N17" s="30">
        <f t="shared" si="0"/>
        <v>0.35199147855414026</v>
      </c>
    </row>
    <row r="18" spans="1:14" ht="20.25">
      <c r="A18" s="33">
        <v>9</v>
      </c>
      <c r="B18" s="33" t="s">
        <v>9</v>
      </c>
      <c r="C18" s="21">
        <f>'1 часть дотации'!C17</f>
        <v>617</v>
      </c>
      <c r="D18" s="28">
        <v>4642265</v>
      </c>
      <c r="E18" s="29">
        <v>551.6</v>
      </c>
      <c r="F18" s="29">
        <f t="shared" si="1"/>
        <v>481.58789662245539</v>
      </c>
      <c r="G18" s="28">
        <v>91</v>
      </c>
      <c r="H18" s="29">
        <v>51.1</v>
      </c>
      <c r="I18" s="29">
        <f t="shared" si="2"/>
        <v>61.59623655913979</v>
      </c>
      <c r="J18" s="28">
        <v>15</v>
      </c>
      <c r="K18" s="29">
        <v>8.4</v>
      </c>
      <c r="L18" s="29">
        <f t="shared" si="3"/>
        <v>6.9836076880632714</v>
      </c>
      <c r="M18" s="29">
        <f t="shared" si="4"/>
        <v>550.16774086965836</v>
      </c>
      <c r="N18" s="30">
        <f t="shared" si="0"/>
        <v>0.44769258685610414</v>
      </c>
    </row>
    <row r="19" spans="1:14" ht="20.25">
      <c r="A19" s="33">
        <v>10</v>
      </c>
      <c r="B19" s="33" t="s">
        <v>10</v>
      </c>
      <c r="C19" s="21">
        <f>'1 часть дотации'!C18</f>
        <v>2099</v>
      </c>
      <c r="D19" s="28">
        <v>20408608</v>
      </c>
      <c r="E19" s="29">
        <v>2412.9</v>
      </c>
      <c r="F19" s="29">
        <f t="shared" si="1"/>
        <v>2117.186028740758</v>
      </c>
      <c r="G19" s="28">
        <v>599</v>
      </c>
      <c r="H19" s="29">
        <v>299.7</v>
      </c>
      <c r="I19" s="29">
        <f>$H$20*1*(G19/$G$20)</f>
        <v>405.45215053763445</v>
      </c>
      <c r="J19" s="28">
        <v>257</v>
      </c>
      <c r="K19" s="29">
        <v>129.19999999999999</v>
      </c>
      <c r="L19" s="29">
        <f t="shared" si="3"/>
        <v>119.65247838881739</v>
      </c>
      <c r="M19" s="29">
        <f t="shared" si="4"/>
        <v>2642.2906576672099</v>
      </c>
      <c r="N19" s="30">
        <f t="shared" si="0"/>
        <v>0.63203058633189024</v>
      </c>
    </row>
    <row r="20" spans="1:14" ht="20.25">
      <c r="A20" s="33"/>
      <c r="B20" s="34" t="s">
        <v>11</v>
      </c>
      <c r="C20" s="24">
        <f t="shared" ref="C20:M20" si="5">C10+C11+C12+C13+C14+C15+C16+C17+C18+C19</f>
        <v>33088</v>
      </c>
      <c r="D20" s="31">
        <f t="shared" si="5"/>
        <v>490331321</v>
      </c>
      <c r="E20" s="22">
        <f t="shared" si="5"/>
        <v>50866.900000000009</v>
      </c>
      <c r="F20" s="22">
        <f t="shared" si="5"/>
        <v>50866.899999999994</v>
      </c>
      <c r="G20" s="31">
        <f t="shared" si="5"/>
        <v>7254</v>
      </c>
      <c r="H20" s="22">
        <f t="shared" si="5"/>
        <v>4910.1000000000004</v>
      </c>
      <c r="I20" s="22">
        <f t="shared" si="5"/>
        <v>4910.0999999999995</v>
      </c>
      <c r="J20" s="31">
        <f t="shared" si="5"/>
        <v>21748</v>
      </c>
      <c r="K20" s="22">
        <f t="shared" si="5"/>
        <v>10125.300000000001</v>
      </c>
      <c r="L20" s="22">
        <f t="shared" si="5"/>
        <v>10125.300000000001</v>
      </c>
      <c r="M20" s="22">
        <f t="shared" si="5"/>
        <v>65902.299999999988</v>
      </c>
      <c r="N20" s="32">
        <f t="shared" si="0"/>
        <v>1</v>
      </c>
    </row>
    <row r="21" spans="1:14">
      <c r="E21" s="6"/>
      <c r="F21" s="5"/>
      <c r="G21" s="5"/>
      <c r="H21" s="6"/>
      <c r="I21" s="5"/>
      <c r="J21" s="5"/>
      <c r="K21" s="6"/>
    </row>
    <row r="27" spans="1:14">
      <c r="A27" s="56" t="s">
        <v>36</v>
      </c>
      <c r="B27" s="56"/>
      <c r="C27" s="56"/>
      <c r="D27" s="56"/>
      <c r="E27" s="56"/>
      <c r="F27" s="56"/>
      <c r="G27" s="56"/>
      <c r="H27" s="56"/>
      <c r="I27" s="56"/>
    </row>
    <row r="28" spans="1:14">
      <c r="A28" s="56"/>
      <c r="B28" s="56"/>
      <c r="C28" s="56"/>
      <c r="D28" s="56"/>
      <c r="E28" s="56"/>
      <c r="F28" s="56"/>
      <c r="G28" s="56"/>
      <c r="H28" s="56"/>
      <c r="I28" s="56"/>
    </row>
    <row r="29" spans="1:14">
      <c r="A29" s="56"/>
      <c r="B29" s="56"/>
      <c r="C29" s="56"/>
      <c r="D29" s="56"/>
      <c r="E29" s="56"/>
      <c r="F29" s="56"/>
      <c r="G29" s="56"/>
      <c r="H29" s="56"/>
      <c r="I29" s="56"/>
    </row>
    <row r="30" spans="1:14">
      <c r="A30" s="56" t="s">
        <v>37</v>
      </c>
      <c r="B30" s="56"/>
      <c r="C30" s="56"/>
      <c r="D30" s="56"/>
      <c r="E30" s="56"/>
      <c r="F30" s="56"/>
      <c r="G30" s="56"/>
      <c r="H30" s="56"/>
      <c r="I30" s="56"/>
    </row>
    <row r="31" spans="1:14">
      <c r="A31" s="56"/>
      <c r="B31" s="56"/>
      <c r="C31" s="56"/>
      <c r="D31" s="56"/>
      <c r="E31" s="56"/>
      <c r="F31" s="56"/>
      <c r="G31" s="56"/>
      <c r="H31" s="56"/>
      <c r="I31" s="56"/>
    </row>
    <row r="32" spans="1:14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6.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6.5">
      <c r="A34" s="39" t="s">
        <v>12</v>
      </c>
      <c r="B34" s="39"/>
      <c r="C34" s="39"/>
      <c r="D34" s="39"/>
      <c r="E34" s="39"/>
      <c r="F34" s="39"/>
      <c r="G34" s="39"/>
      <c r="H34" s="39"/>
      <c r="I34" s="39"/>
    </row>
    <row r="35" spans="1:9" ht="16.5">
      <c r="A35" s="39" t="s">
        <v>13</v>
      </c>
      <c r="B35" s="39"/>
      <c r="C35" s="39"/>
      <c r="D35" s="39"/>
      <c r="E35" s="39"/>
      <c r="F35" s="39"/>
      <c r="G35" s="39"/>
      <c r="H35" s="39"/>
      <c r="I35" s="39"/>
    </row>
  </sheetData>
  <mergeCells count="17">
    <mergeCell ref="A27:I29"/>
    <mergeCell ref="A30:I32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K7:K8"/>
  </mergeCells>
  <phoneticPr fontId="0" type="noConversion"/>
  <pageMargins left="0.26" right="0.2800000000000000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8"/>
  <sheetViews>
    <sheetView workbookViewId="0">
      <selection activeCell="G42" sqref="G42"/>
    </sheetView>
  </sheetViews>
  <sheetFormatPr defaultRowHeight="12.75"/>
  <cols>
    <col min="1" max="1" width="6.140625" style="1" customWidth="1"/>
    <col min="2" max="2" width="31.85546875" style="1" customWidth="1"/>
    <col min="3" max="3" width="14.140625" style="1" customWidth="1"/>
    <col min="4" max="4" width="18.140625" style="1" customWidth="1"/>
    <col min="5" max="5" width="20.5703125" style="1" customWidth="1"/>
    <col min="6" max="6" width="16.7109375" style="1" customWidth="1"/>
    <col min="7" max="7" width="15" style="1" customWidth="1"/>
    <col min="8" max="8" width="17" style="1" customWidth="1"/>
    <col min="9" max="9" width="14.85546875" style="1" customWidth="1"/>
    <col min="10" max="12" width="16.28515625" style="1" customWidth="1"/>
    <col min="13" max="13" width="17" style="1" customWidth="1"/>
    <col min="14" max="14" width="14" style="1" customWidth="1"/>
    <col min="15" max="15" width="14.5703125" style="1" customWidth="1"/>
    <col min="16" max="16" width="18.28515625" style="1" customWidth="1"/>
    <col min="17" max="18" width="16.5703125" style="1" customWidth="1"/>
    <col min="19" max="19" width="18" style="1" customWidth="1"/>
    <col min="20" max="20" width="16.5703125" style="1" customWidth="1"/>
    <col min="21" max="21" width="14.85546875" style="1" customWidth="1"/>
    <col min="22" max="16384" width="9.140625" style="1"/>
  </cols>
  <sheetData>
    <row r="2" spans="1:21">
      <c r="A2" s="46" t="s">
        <v>81</v>
      </c>
      <c r="B2" s="46"/>
      <c r="C2" s="46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66"/>
      <c r="S2" s="66"/>
      <c r="T2" s="66"/>
      <c r="U2" s="66"/>
    </row>
    <row r="3" spans="1:21">
      <c r="A3" s="46"/>
      <c r="B3" s="46"/>
      <c r="C3" s="46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</row>
    <row r="7" spans="1:21" s="38" customFormat="1" ht="131.25" customHeight="1">
      <c r="A7" s="67" t="s">
        <v>0</v>
      </c>
      <c r="B7" s="57" t="s">
        <v>15</v>
      </c>
      <c r="C7" s="57" t="s">
        <v>66</v>
      </c>
      <c r="D7" s="60" t="s">
        <v>65</v>
      </c>
      <c r="E7" s="60" t="s">
        <v>67</v>
      </c>
      <c r="F7" s="60" t="s">
        <v>19</v>
      </c>
      <c r="G7" s="61" t="s">
        <v>20</v>
      </c>
      <c r="H7" s="60" t="s">
        <v>58</v>
      </c>
      <c r="I7" s="60" t="s">
        <v>69</v>
      </c>
      <c r="J7" s="60" t="s">
        <v>59</v>
      </c>
      <c r="K7" s="60" t="s">
        <v>21</v>
      </c>
      <c r="L7" s="61" t="s">
        <v>29</v>
      </c>
      <c r="M7" s="61" t="s">
        <v>25</v>
      </c>
      <c r="N7" s="60" t="s">
        <v>26</v>
      </c>
      <c r="O7" s="61" t="s">
        <v>60</v>
      </c>
      <c r="P7" s="60" t="s">
        <v>27</v>
      </c>
      <c r="Q7" s="60" t="s">
        <v>28</v>
      </c>
      <c r="R7" s="57" t="s">
        <v>68</v>
      </c>
      <c r="S7" s="57" t="s">
        <v>49</v>
      </c>
      <c r="T7" s="61" t="s">
        <v>31</v>
      </c>
      <c r="U7" s="60" t="s">
        <v>30</v>
      </c>
    </row>
    <row r="8" spans="1:21" s="38" customFormat="1" ht="131.25" customHeight="1">
      <c r="A8" s="68"/>
      <c r="B8" s="58"/>
      <c r="C8" s="58"/>
      <c r="D8" s="60"/>
      <c r="E8" s="60"/>
      <c r="F8" s="60"/>
      <c r="G8" s="61"/>
      <c r="H8" s="60"/>
      <c r="I8" s="60"/>
      <c r="J8" s="60"/>
      <c r="K8" s="60"/>
      <c r="L8" s="61"/>
      <c r="M8" s="61"/>
      <c r="N8" s="60"/>
      <c r="O8" s="61"/>
      <c r="P8" s="60"/>
      <c r="Q8" s="60"/>
      <c r="R8" s="58"/>
      <c r="S8" s="59"/>
      <c r="T8" s="61"/>
      <c r="U8" s="60"/>
    </row>
    <row r="9" spans="1:21" ht="20.25">
      <c r="A9" s="33">
        <v>1</v>
      </c>
      <c r="B9" s="33" t="s">
        <v>1</v>
      </c>
      <c r="C9" s="21">
        <f>'1 часть дотации'!C9</f>
        <v>11280</v>
      </c>
      <c r="D9" s="21"/>
      <c r="E9" s="14"/>
      <c r="F9" s="16">
        <f>D9/C9</f>
        <v>0</v>
      </c>
      <c r="G9" s="30">
        <f>(1+0.25*F9)/(1+0.25*$F$19)</f>
        <v>0.92759473798560443</v>
      </c>
      <c r="H9" s="35">
        <f>78.87+143.92</f>
        <v>222.79</v>
      </c>
      <c r="I9" s="35">
        <v>3694.63</v>
      </c>
      <c r="J9" s="35">
        <v>4.4400000000000004</v>
      </c>
      <c r="K9" s="30">
        <f>0.2*H9/$H$19+0.65*I9/$I$19+0.15*J9/$J$19</f>
        <v>1.0396810134173711</v>
      </c>
      <c r="L9" s="30">
        <f>параметры!$B$9*ИБР!G9+параметры!$B$10*ИБР!K9+1-параметры!$B$9-параметры!$B$10</f>
        <v>0.95813612151918315</v>
      </c>
      <c r="M9" s="14">
        <v>0.7</v>
      </c>
      <c r="N9" s="30">
        <f>M9+(1-M9)*(AVERAGE($C$9:$C$18))/C9</f>
        <v>0.78800000000000003</v>
      </c>
      <c r="O9" s="14">
        <v>292.7</v>
      </c>
      <c r="P9" s="30">
        <f>(O9/C9)/($O$19/$C$19)</f>
        <v>1.0728310217001957</v>
      </c>
      <c r="Q9" s="30">
        <f>(1+E9/C9)/(1+$E$19/$C$19)</f>
        <v>0.93887974575790256</v>
      </c>
      <c r="R9" s="30">
        <v>72.427999999999997</v>
      </c>
      <c r="S9" s="30">
        <f>(R9/C9)/($R$19/$C$19)</f>
        <v>0.5440600938967135</v>
      </c>
      <c r="T9" s="30">
        <f>параметры!$B$15*ИБР!N9+параметры!$B$16*ИБР!P9+параметры!$B$18*ИБР!Q9+параметры!$B$17*ИБР!S9</f>
        <v>0.82142516602482341</v>
      </c>
      <c r="U9" s="30">
        <f>L9*T9*$C$19/SUMPRODUCT($L$9:$L$18,$T$9:$T$18,$C$9:$C$18)</f>
        <v>0.78098955890202815</v>
      </c>
    </row>
    <row r="10" spans="1:21" ht="20.25">
      <c r="A10" s="33">
        <v>2</v>
      </c>
      <c r="B10" s="33" t="s">
        <v>2</v>
      </c>
      <c r="C10" s="21">
        <f>'1 часть дотации'!C10</f>
        <v>3321</v>
      </c>
      <c r="D10" s="21">
        <v>44</v>
      </c>
      <c r="E10" s="14">
        <v>44</v>
      </c>
      <c r="F10" s="16">
        <f t="shared" ref="F10:F19" si="0">D10/C10</f>
        <v>1.324902137910268E-2</v>
      </c>
      <c r="G10" s="30">
        <f t="shared" ref="G10:G19" si="1">(1+0.25*F10)/(1+0.25*$F$19)</f>
        <v>0.93066716861428311</v>
      </c>
      <c r="H10" s="35">
        <v>78.17</v>
      </c>
      <c r="I10" s="35">
        <v>3207.9</v>
      </c>
      <c r="J10" s="35">
        <v>4.4400000000000004</v>
      </c>
      <c r="K10" s="30">
        <f t="shared" ref="K10:K19" si="2">0.2*H10/$H$19+0.65*I10/$I$19+0.15*J10/$J$19</f>
        <v>0.7786468016904321</v>
      </c>
      <c r="L10" s="30">
        <f>параметры!$B$9*ИБР!G10+параметры!$B$10*ИБР!K10+1-параметры!$B$9-параметры!$B$10</f>
        <v>0.94905836166013235</v>
      </c>
      <c r="M10" s="14">
        <f>$M$9</f>
        <v>0.7</v>
      </c>
      <c r="N10" s="30">
        <f t="shared" ref="N10:N18" si="3">M10+(1-M10)*(AVERAGE($C$9:$C$18))/C10</f>
        <v>0.99889792231255647</v>
      </c>
      <c r="O10" s="14">
        <v>92.4</v>
      </c>
      <c r="P10" s="30">
        <f t="shared" ref="P10:P19" si="4">(O10/C10)/($O$19/$C$19)</f>
        <v>1.1503256287925454</v>
      </c>
      <c r="Q10" s="30">
        <f t="shared" ref="Q10:Q19" si="5">(1+E10/C10)/(1+$E$19/$C$19)</f>
        <v>0.95131898358185563</v>
      </c>
      <c r="R10" s="30">
        <v>30.13</v>
      </c>
      <c r="S10" s="30">
        <f t="shared" ref="S10:S19" si="6">(R10/C10)/($R$19/$C$19)</f>
        <v>0.76874045234975041</v>
      </c>
      <c r="T10" s="30">
        <f>параметры!$B$15*ИБР!N10+параметры!$B$16*ИБР!P10+параметры!$B$18*ИБР!Q10+параметры!$B$17*ИБР!S10</f>
        <v>0.96865664287276831</v>
      </c>
      <c r="U10" s="30">
        <f t="shared" ref="U10:U18" si="7">L10*T10*$C$19/SUMPRODUCT($L$9:$L$18,$T$9:$T$18,$C$9:$C$18)</f>
        <v>0.9122477299076851</v>
      </c>
    </row>
    <row r="11" spans="1:21" ht="20.25">
      <c r="A11" s="33">
        <v>3</v>
      </c>
      <c r="B11" s="33" t="s">
        <v>3</v>
      </c>
      <c r="C11" s="21">
        <f>'1 часть дотации'!C11</f>
        <v>1600</v>
      </c>
      <c r="D11" s="21"/>
      <c r="E11" s="14"/>
      <c r="F11" s="16">
        <f t="shared" si="0"/>
        <v>0</v>
      </c>
      <c r="G11" s="30">
        <f t="shared" si="1"/>
        <v>0.92759473798560443</v>
      </c>
      <c r="H11" s="35">
        <v>57.52</v>
      </c>
      <c r="I11" s="35">
        <v>3879.39</v>
      </c>
      <c r="J11" s="35">
        <v>4.4400000000000004</v>
      </c>
      <c r="K11" s="30">
        <f t="shared" si="2"/>
        <v>0.86405478760488186</v>
      </c>
      <c r="L11" s="30">
        <f>параметры!$B$9*ИБР!G11+параметры!$B$10*ИБР!K11+1-параметры!$B$9-параметры!$B$10</f>
        <v>0.95078590028588061</v>
      </c>
      <c r="M11" s="14">
        <f t="shared" ref="M11:M18" si="8">$M$9</f>
        <v>0.7</v>
      </c>
      <c r="N11" s="30">
        <f t="shared" si="3"/>
        <v>1.3204000000000002</v>
      </c>
      <c r="O11" s="14">
        <v>42</v>
      </c>
      <c r="P11" s="30">
        <f t="shared" si="4"/>
        <v>1.0852930151193303</v>
      </c>
      <c r="Q11" s="30">
        <f t="shared" si="5"/>
        <v>0.93887974575790256</v>
      </c>
      <c r="R11" s="30">
        <v>30.9</v>
      </c>
      <c r="S11" s="30">
        <f t="shared" si="6"/>
        <v>1.6363943661971829</v>
      </c>
      <c r="T11" s="30">
        <f>параметры!$B$15*ИБР!N11+параметры!$B$16*ИБР!P11+параметры!$B$18*ИБР!Q11+параметры!$B$17*ИБР!S11</f>
        <v>1.2220376964405006</v>
      </c>
      <c r="U11" s="30">
        <f t="shared" si="7"/>
        <v>1.1529682443959681</v>
      </c>
    </row>
    <row r="12" spans="1:21" ht="20.25">
      <c r="A12" s="33">
        <v>4</v>
      </c>
      <c r="B12" s="33" t="s">
        <v>4</v>
      </c>
      <c r="C12" s="21">
        <f>'1 часть дотации'!C12</f>
        <v>2944</v>
      </c>
      <c r="D12" s="21"/>
      <c r="E12" s="14"/>
      <c r="F12" s="16">
        <f t="shared" si="0"/>
        <v>0</v>
      </c>
      <c r="G12" s="30">
        <f t="shared" si="1"/>
        <v>0.92759473798560443</v>
      </c>
      <c r="H12" s="35">
        <f>68.3+94.67</f>
        <v>162.97</v>
      </c>
      <c r="I12" s="35">
        <v>2891.72</v>
      </c>
      <c r="J12" s="35">
        <v>4.4400000000000004</v>
      </c>
      <c r="K12" s="30">
        <f t="shared" si="2"/>
        <v>0.83210825133008648</v>
      </c>
      <c r="L12" s="30">
        <f>параметры!$B$9*ИБР!G12+параметры!$B$10*ИБР!K12+1-параметры!$B$9-параметры!$B$10</f>
        <v>0.94944888977864472</v>
      </c>
      <c r="M12" s="14">
        <f t="shared" si="8"/>
        <v>0.7</v>
      </c>
      <c r="N12" s="30">
        <f t="shared" si="3"/>
        <v>1.0371739130434783</v>
      </c>
      <c r="O12" s="14">
        <v>55</v>
      </c>
      <c r="P12" s="30">
        <f t="shared" si="4"/>
        <v>0.7724005671786125</v>
      </c>
      <c r="Q12" s="30">
        <f t="shared" si="5"/>
        <v>0.93887974575790256</v>
      </c>
      <c r="R12" s="30">
        <v>27.26</v>
      </c>
      <c r="S12" s="30">
        <f t="shared" si="6"/>
        <v>0.78458052663808953</v>
      </c>
      <c r="T12" s="30">
        <f>параметры!$B$15*ИБР!N12+параметры!$B$16*ИБР!P12+параметры!$B$18*ИБР!Q12+параметры!$B$17*ИБР!S12</f>
        <v>0.98016667255866852</v>
      </c>
      <c r="U12" s="30">
        <f t="shared" si="7"/>
        <v>0.92346732395854692</v>
      </c>
    </row>
    <row r="13" spans="1:21" ht="20.25">
      <c r="A13" s="33">
        <v>5</v>
      </c>
      <c r="B13" s="33" t="s">
        <v>5</v>
      </c>
      <c r="C13" s="21">
        <f>'1 часть дотации'!C13</f>
        <v>4612</v>
      </c>
      <c r="D13" s="21">
        <v>956</v>
      </c>
      <c r="E13" s="14">
        <v>956</v>
      </c>
      <c r="F13" s="16">
        <f t="shared" si="0"/>
        <v>0.20728534258456202</v>
      </c>
      <c r="G13" s="30">
        <f t="shared" si="1"/>
        <v>0.97566393624635017</v>
      </c>
      <c r="H13" s="35">
        <f>86.61+168.83</f>
        <v>255.44</v>
      </c>
      <c r="I13" s="35">
        <v>5500.14</v>
      </c>
      <c r="J13" s="35">
        <v>4.4400000000000004</v>
      </c>
      <c r="K13" s="30">
        <f t="shared" si="2"/>
        <v>1.3793460586213602</v>
      </c>
      <c r="L13" s="30">
        <f>параметры!$B$9*ИБР!G13+параметры!$B$10*ИБР!K13+1-параметры!$B$9-параметры!$B$10</f>
        <v>1.0012471940631626</v>
      </c>
      <c r="M13" s="14">
        <f t="shared" si="8"/>
        <v>0.7</v>
      </c>
      <c r="N13" s="30">
        <f t="shared" si="3"/>
        <v>0.91522983521248913</v>
      </c>
      <c r="O13" s="14">
        <v>103.5</v>
      </c>
      <c r="P13" s="30">
        <f t="shared" si="4"/>
        <v>0.92783072783092302</v>
      </c>
      <c r="Q13" s="30">
        <f t="shared" si="5"/>
        <v>1.1334957555030358</v>
      </c>
      <c r="R13" s="30">
        <v>57.2</v>
      </c>
      <c r="S13" s="30">
        <f t="shared" si="6"/>
        <v>1.0508874583145011</v>
      </c>
      <c r="T13" s="30">
        <f>параметры!$B$15*ИБР!N13+параметры!$B$16*ИБР!P13+параметры!$B$18*ИБР!Q13+параметры!$B$17*ИБР!S13</f>
        <v>0.99458309203338102</v>
      </c>
      <c r="U13" s="30">
        <f t="shared" si="7"/>
        <v>0.98817165942992558</v>
      </c>
    </row>
    <row r="14" spans="1:21" ht="20.25">
      <c r="A14" s="33">
        <v>6</v>
      </c>
      <c r="B14" s="33" t="s">
        <v>6</v>
      </c>
      <c r="C14" s="21">
        <f>'1 часть дотации'!C14</f>
        <v>2641</v>
      </c>
      <c r="D14" s="21">
        <v>2641</v>
      </c>
      <c r="E14" s="14">
        <v>141</v>
      </c>
      <c r="F14" s="16">
        <f t="shared" si="0"/>
        <v>1</v>
      </c>
      <c r="G14" s="30">
        <f t="shared" si="1"/>
        <v>1.1594934224820055</v>
      </c>
      <c r="H14" s="35">
        <v>69.06</v>
      </c>
      <c r="I14" s="35">
        <v>4837.1400000000003</v>
      </c>
      <c r="J14" s="35">
        <v>4.4400000000000004</v>
      </c>
      <c r="K14" s="30">
        <f t="shared" si="2"/>
        <v>1.0370219731158483</v>
      </c>
      <c r="L14" s="30">
        <f>параметры!$B$9*ИБР!G14+параметры!$B$10*ИБР!K14+1-параметры!$B$9-параметры!$B$10</f>
        <v>1.0974248544291161</v>
      </c>
      <c r="M14" s="14">
        <f t="shared" si="8"/>
        <v>0.7</v>
      </c>
      <c r="N14" s="30">
        <f t="shared" si="3"/>
        <v>1.0758576296857252</v>
      </c>
      <c r="O14" s="14">
        <v>41.1</v>
      </c>
      <c r="P14" s="30">
        <f t="shared" si="4"/>
        <v>0.64341491024546227</v>
      </c>
      <c r="Q14" s="30">
        <f t="shared" si="5"/>
        <v>0.9890054724341103</v>
      </c>
      <c r="R14" s="30">
        <v>31.585000000000001</v>
      </c>
      <c r="S14" s="30">
        <f t="shared" si="6"/>
        <v>1.0133558031262164</v>
      </c>
      <c r="T14" s="30">
        <f>параметры!$B$15*ИБР!N14+параметры!$B$16*ИБР!P14+параметры!$B$18*ИБР!Q14+параметры!$B$17*ИБР!S14</f>
        <v>1.0342101028748745</v>
      </c>
      <c r="U14" s="30">
        <f t="shared" si="7"/>
        <v>1.1262468209541301</v>
      </c>
    </row>
    <row r="15" spans="1:21" ht="20.25">
      <c r="A15" s="33">
        <v>7</v>
      </c>
      <c r="B15" s="33" t="s">
        <v>7</v>
      </c>
      <c r="C15" s="21">
        <f>'1 часть дотации'!C15</f>
        <v>2611</v>
      </c>
      <c r="D15" s="21">
        <v>2611</v>
      </c>
      <c r="E15" s="14">
        <v>496</v>
      </c>
      <c r="F15" s="16">
        <f t="shared" si="0"/>
        <v>1</v>
      </c>
      <c r="G15" s="30">
        <f t="shared" si="1"/>
        <v>1.1594934224820055</v>
      </c>
      <c r="H15" s="35">
        <f>58.83+74.45</f>
        <v>133.28</v>
      </c>
      <c r="I15" s="35">
        <v>2774.04</v>
      </c>
      <c r="J15" s="35">
        <v>4.4400000000000004</v>
      </c>
      <c r="K15" s="30">
        <f t="shared" si="2"/>
        <v>0.775579070344664</v>
      </c>
      <c r="L15" s="30">
        <f>параметры!$B$9*ИБР!G15+параметры!$B$10*ИБР!K15+1-параметры!$B$9-параметры!$B$10</f>
        <v>1.0864830764209912</v>
      </c>
      <c r="M15" s="14">
        <f t="shared" si="8"/>
        <v>0.7</v>
      </c>
      <c r="N15" s="30">
        <f t="shared" si="3"/>
        <v>1.0801761777096899</v>
      </c>
      <c r="O15" s="14">
        <v>59.4</v>
      </c>
      <c r="P15" s="30">
        <f t="shared" si="4"/>
        <v>0.94058332108607501</v>
      </c>
      <c r="Q15" s="30">
        <f t="shared" si="5"/>
        <v>1.1172345346877839</v>
      </c>
      <c r="R15" s="30">
        <v>41.151000000000003</v>
      </c>
      <c r="S15" s="30">
        <f t="shared" si="6"/>
        <v>1.3354357566309385</v>
      </c>
      <c r="T15" s="30">
        <f>параметры!$B$15*ИБР!N15+параметры!$B$16*ИБР!P15+параметры!$B$18*ИБР!Q15+параметры!$B$17*ИБР!S15</f>
        <v>1.1094408511899423</v>
      </c>
      <c r="U15" s="30">
        <f t="shared" si="7"/>
        <v>1.1961265473860008</v>
      </c>
    </row>
    <row r="16" spans="1:21" ht="20.25">
      <c r="A16" s="33">
        <v>8</v>
      </c>
      <c r="B16" s="33" t="s">
        <v>8</v>
      </c>
      <c r="C16" s="21">
        <f>'1 часть дотации'!C16</f>
        <v>1363</v>
      </c>
      <c r="D16" s="21">
        <v>1363</v>
      </c>
      <c r="E16" s="14"/>
      <c r="F16" s="16">
        <f t="shared" si="0"/>
        <v>1</v>
      </c>
      <c r="G16" s="30">
        <f t="shared" si="1"/>
        <v>1.1594934224820055</v>
      </c>
      <c r="H16" s="35">
        <v>26.57</v>
      </c>
      <c r="I16" s="35">
        <v>4251.91</v>
      </c>
      <c r="J16" s="35">
        <v>4.4400000000000004</v>
      </c>
      <c r="K16" s="30">
        <f t="shared" si="2"/>
        <v>0.88711251838201399</v>
      </c>
      <c r="L16" s="30">
        <f>параметры!$B$9*ИБР!G16+параметры!$B$10*ИБР!K16+1-параметры!$B$9-параметры!$B$10</f>
        <v>1.091150918676298</v>
      </c>
      <c r="M16" s="14">
        <f t="shared" si="8"/>
        <v>0.7</v>
      </c>
      <c r="N16" s="30">
        <f t="shared" si="3"/>
        <v>1.4282758620689657</v>
      </c>
      <c r="O16" s="14">
        <v>40.299999999999997</v>
      </c>
      <c r="P16" s="30">
        <f t="shared" si="4"/>
        <v>1.2224381374226045</v>
      </c>
      <c r="Q16" s="30">
        <f t="shared" si="5"/>
        <v>0.93887974575790256</v>
      </c>
      <c r="R16" s="30">
        <v>12.321999999999999</v>
      </c>
      <c r="S16" s="30">
        <f t="shared" si="6"/>
        <v>0.76601068479844581</v>
      </c>
      <c r="T16" s="30">
        <f>параметры!$B$15*ИБР!N16+параметры!$B$16*ИБР!P16+параметры!$B$18*ИБР!Q16+параметры!$B$17*ИБР!S16</f>
        <v>1.2173079592222056</v>
      </c>
      <c r="U16" s="30">
        <f t="shared" si="7"/>
        <v>1.3180603464279659</v>
      </c>
    </row>
    <row r="17" spans="1:21" ht="20.25">
      <c r="A17" s="33">
        <v>9</v>
      </c>
      <c r="B17" s="33" t="s">
        <v>9</v>
      </c>
      <c r="C17" s="21">
        <f>'1 часть дотации'!C17</f>
        <v>617</v>
      </c>
      <c r="D17" s="21">
        <v>617</v>
      </c>
      <c r="E17" s="14">
        <v>10</v>
      </c>
      <c r="F17" s="16">
        <f t="shared" si="0"/>
        <v>1</v>
      </c>
      <c r="G17" s="30">
        <f t="shared" si="1"/>
        <v>1.1594934224820055</v>
      </c>
      <c r="H17" s="35">
        <v>40.68</v>
      </c>
      <c r="I17" s="35">
        <v>6839.67</v>
      </c>
      <c r="J17" s="35">
        <v>4.4400000000000004</v>
      </c>
      <c r="K17" s="30">
        <f t="shared" si="2"/>
        <v>1.3331560817184664</v>
      </c>
      <c r="L17" s="30">
        <f>параметры!$B$9*ИБР!G17+параметры!$B$10*ИБР!K17+1-параметры!$B$9-параметры!$B$10</f>
        <v>1.1098185114862349</v>
      </c>
      <c r="M17" s="14">
        <f t="shared" si="8"/>
        <v>0.7</v>
      </c>
      <c r="N17" s="30">
        <f t="shared" si="3"/>
        <v>2.3088168557536468</v>
      </c>
      <c r="O17" s="14">
        <v>12.1</v>
      </c>
      <c r="P17" s="30">
        <f t="shared" si="4"/>
        <v>0.81080777852551655</v>
      </c>
      <c r="Q17" s="30">
        <f t="shared" si="5"/>
        <v>0.95409659739093178</v>
      </c>
      <c r="R17" s="30">
        <v>51</v>
      </c>
      <c r="S17" s="30">
        <f t="shared" si="6"/>
        <v>7.0038121761362344</v>
      </c>
      <c r="T17" s="30">
        <f>параметры!$B$15*ИБР!N17+параметры!$B$16*ИБР!P17+параметры!$B$18*ИБР!Q17+параметры!$B$17*ИБР!S17</f>
        <v>2.2358042507347546</v>
      </c>
      <c r="U17" s="30">
        <f t="shared" si="7"/>
        <v>2.4622704453143656</v>
      </c>
    </row>
    <row r="18" spans="1:21" ht="20.25">
      <c r="A18" s="33">
        <v>10</v>
      </c>
      <c r="B18" s="33" t="s">
        <v>10</v>
      </c>
      <c r="C18" s="21">
        <f>'1 часть дотации'!C18</f>
        <v>2099</v>
      </c>
      <c r="D18" s="21">
        <v>2099</v>
      </c>
      <c r="E18" s="14">
        <v>507</v>
      </c>
      <c r="F18" s="16">
        <f t="shared" si="0"/>
        <v>1</v>
      </c>
      <c r="G18" s="30">
        <f t="shared" si="1"/>
        <v>1.1594934224820055</v>
      </c>
      <c r="H18" s="35">
        <v>90.21</v>
      </c>
      <c r="I18" s="35">
        <v>3551.3</v>
      </c>
      <c r="J18" s="35">
        <v>4.4400000000000004</v>
      </c>
      <c r="K18" s="30">
        <f t="shared" si="2"/>
        <v>0.85052411488755641</v>
      </c>
      <c r="L18" s="30">
        <f>параметры!$B$9*ИБР!G18+параметры!$B$10*ИБР!K18+1-параметры!$B$9-параметры!$B$10</f>
        <v>1.0896196390566768</v>
      </c>
      <c r="M18" s="14">
        <f t="shared" si="8"/>
        <v>0.7</v>
      </c>
      <c r="N18" s="30">
        <f t="shared" si="3"/>
        <v>1.1729109099571224</v>
      </c>
      <c r="O18" s="14">
        <v>61.8</v>
      </c>
      <c r="P18" s="30">
        <f t="shared" si="4"/>
        <v>1.217289109723444</v>
      </c>
      <c r="Q18" s="30">
        <f t="shared" si="5"/>
        <v>1.1656601321796543</v>
      </c>
      <c r="R18" s="30">
        <v>36.524000000000001</v>
      </c>
      <c r="S18" s="30">
        <f t="shared" si="6"/>
        <v>1.4744001771467297</v>
      </c>
      <c r="T18" s="30">
        <f>параметры!$B$15*ИБР!N18+параметры!$B$16*ИБР!P18+параметры!$B$18*ИБР!Q18+параметры!$B$17*ИБР!S18</f>
        <v>1.1961630691812117</v>
      </c>
      <c r="U18" s="30">
        <f t="shared" si="7"/>
        <v>1.2933477809425353</v>
      </c>
    </row>
    <row r="19" spans="1:21" ht="20.25">
      <c r="A19" s="33"/>
      <c r="B19" s="34" t="s">
        <v>11</v>
      </c>
      <c r="C19" s="24">
        <f>C9+C10+C11+C12+C13+C14+C15+C16+C17+C18</f>
        <v>33088</v>
      </c>
      <c r="D19" s="24">
        <f>D9+D10+D11+D12+D13+D14+D15+D16+D17+D18</f>
        <v>10331</v>
      </c>
      <c r="E19" s="24">
        <f>E9+E10+E11+E12+E13+E14+E15+E16+E17+E18</f>
        <v>2154</v>
      </c>
      <c r="F19" s="36">
        <f t="shared" si="0"/>
        <v>0.31222799806576401</v>
      </c>
      <c r="G19" s="32">
        <f t="shared" si="1"/>
        <v>1</v>
      </c>
      <c r="H19" s="37">
        <f>(C9*H9+C10*H10+C11*H11+C12*H12+C13*H13+C14*H14+C15*H15+C16*H16+C17*H17+C18*H18)/C19</f>
        <v>160.28848918036749</v>
      </c>
      <c r="I19" s="37">
        <f>(C9*I9+C10*I10+C11*I11+C12*I12+C13*I13+C14*I14+C15*I15+C16*I16+C17*I17+C18*I18)/C19</f>
        <v>3925.9933891441001</v>
      </c>
      <c r="J19" s="37">
        <f>(C9*J9+C10*J10+C11*J11+C12*J12+C13*J13+C14*J14+C15*J15+C16*J16+C17*J17+C18*J18)/C19</f>
        <v>4.4400000000000004</v>
      </c>
      <c r="K19" s="32">
        <f t="shared" si="2"/>
        <v>1</v>
      </c>
      <c r="L19" s="32">
        <f>параметры!$B$9*ИБР!G19+параметры!$B$10*ИБР!K19+1-параметры!$B$9-параметры!$B$10</f>
        <v>1</v>
      </c>
      <c r="M19" s="14"/>
      <c r="N19" s="30"/>
      <c r="O19" s="23">
        <f>O9+O10+O11+O12+O13+O14+O15+O16+O17+O18</f>
        <v>800.3</v>
      </c>
      <c r="P19" s="32">
        <f t="shared" si="4"/>
        <v>1</v>
      </c>
      <c r="Q19" s="32">
        <f t="shared" si="5"/>
        <v>1</v>
      </c>
      <c r="R19" s="32">
        <f>R9+R10+R11+R12+R13+R14+R15+R16+R17+R18</f>
        <v>390.5</v>
      </c>
      <c r="S19" s="32">
        <f t="shared" si="6"/>
        <v>1</v>
      </c>
      <c r="T19" s="30"/>
      <c r="U19" s="30"/>
    </row>
    <row r="20" spans="1:21" s="5" customFormat="1">
      <c r="C20" s="8"/>
      <c r="D20" s="6"/>
      <c r="E20" s="6"/>
      <c r="H20" s="6"/>
      <c r="I20" s="6"/>
      <c r="J20" s="6"/>
    </row>
    <row r="24" spans="1:21" ht="36" customHeight="1">
      <c r="C24" s="62" t="s">
        <v>38</v>
      </c>
      <c r="D24" s="63"/>
      <c r="E24" s="63"/>
      <c r="F24" s="63"/>
      <c r="G24" s="63"/>
      <c r="H24" s="63"/>
      <c r="I24" s="63"/>
      <c r="J24" s="63"/>
    </row>
    <row r="25" spans="1:21" ht="27.75" customHeight="1">
      <c r="C25" s="63"/>
      <c r="D25" s="63"/>
      <c r="E25" s="63"/>
      <c r="F25" s="63"/>
      <c r="G25" s="63"/>
      <c r="H25" s="63"/>
      <c r="I25" s="63"/>
      <c r="J25" s="63"/>
    </row>
    <row r="26" spans="1:21">
      <c r="C26" s="63"/>
      <c r="D26" s="63"/>
      <c r="E26" s="63"/>
      <c r="F26" s="63"/>
      <c r="G26" s="63"/>
      <c r="H26" s="63"/>
      <c r="I26" s="63"/>
      <c r="J26" s="63"/>
    </row>
    <row r="27" spans="1:21" ht="28.5" customHeight="1">
      <c r="C27" s="63"/>
      <c r="D27" s="63"/>
      <c r="E27" s="63"/>
      <c r="F27" s="63"/>
      <c r="G27" s="63"/>
      <c r="H27" s="63"/>
      <c r="I27" s="63"/>
      <c r="J27" s="63"/>
    </row>
    <row r="28" spans="1:21" ht="27.75" customHeight="1"/>
  </sheetData>
  <mergeCells count="23">
    <mergeCell ref="C24:J27"/>
    <mergeCell ref="A2:U3"/>
    <mergeCell ref="C7:C8"/>
    <mergeCell ref="B7:B8"/>
    <mergeCell ref="A7:A8"/>
    <mergeCell ref="D7:D8"/>
    <mergeCell ref="E7:E8"/>
    <mergeCell ref="F7:F8"/>
    <mergeCell ref="G7:G8"/>
    <mergeCell ref="H7:H8"/>
    <mergeCell ref="I7:I8"/>
    <mergeCell ref="T7:T8"/>
    <mergeCell ref="U7:U8"/>
    <mergeCell ref="L7:L8"/>
    <mergeCell ref="Q7:Q8"/>
    <mergeCell ref="O7:O8"/>
    <mergeCell ref="R7:R8"/>
    <mergeCell ref="S7:S8"/>
    <mergeCell ref="P7:P8"/>
    <mergeCell ref="J7:J8"/>
    <mergeCell ref="K7:K8"/>
    <mergeCell ref="M7:M8"/>
    <mergeCell ref="N7:N8"/>
  </mergeCells>
  <phoneticPr fontId="0" type="noConversion"/>
  <pageMargins left="0.31496062992125984" right="0.19685039370078741" top="0.62992125984251968" bottom="0.27559055118110237" header="0.51181102362204722" footer="0.19685039370078741"/>
  <pageSetup paperSize="9" scale="4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tabSelected="1" topLeftCell="A16" workbookViewId="0">
      <selection activeCell="A24" sqref="A24:H25"/>
    </sheetView>
  </sheetViews>
  <sheetFormatPr defaultRowHeight="12.75"/>
  <cols>
    <col min="1" max="1" width="6.140625" style="1" customWidth="1"/>
    <col min="2" max="2" width="38.85546875" style="1" customWidth="1"/>
    <col min="3" max="3" width="19.5703125" style="1" customWidth="1"/>
    <col min="4" max="4" width="17.5703125" style="1" customWidth="1"/>
    <col min="5" max="5" width="23.7109375" style="1" customWidth="1"/>
    <col min="6" max="6" width="24.28515625" style="1" customWidth="1"/>
    <col min="7" max="7" width="27.42578125" style="1" customWidth="1"/>
    <col min="8" max="8" width="23.42578125" style="1" customWidth="1"/>
    <col min="9" max="9" width="22" style="1" customWidth="1"/>
    <col min="10" max="16384" width="9.140625" style="1"/>
  </cols>
  <sheetData>
    <row r="2" spans="1:9" ht="12.75" customHeight="1">
      <c r="A2" s="46" t="s">
        <v>78</v>
      </c>
      <c r="B2" s="46"/>
      <c r="C2" s="46"/>
      <c r="D2" s="46"/>
      <c r="E2" s="65"/>
      <c r="F2" s="65"/>
      <c r="G2" s="65"/>
      <c r="H2" s="65"/>
      <c r="I2" s="65"/>
    </row>
    <row r="3" spans="1:9">
      <c r="A3" s="46"/>
      <c r="B3" s="46"/>
      <c r="C3" s="46"/>
      <c r="D3" s="46"/>
      <c r="E3" s="65"/>
      <c r="F3" s="65"/>
      <c r="G3" s="65"/>
      <c r="H3" s="65"/>
      <c r="I3" s="65"/>
    </row>
    <row r="7" spans="1:9" ht="147.75" customHeight="1">
      <c r="A7" s="50" t="s">
        <v>0</v>
      </c>
      <c r="B7" s="50" t="s">
        <v>15</v>
      </c>
      <c r="C7" s="50" t="s">
        <v>18</v>
      </c>
      <c r="D7" s="55" t="s">
        <v>72</v>
      </c>
      <c r="E7" s="55" t="s">
        <v>32</v>
      </c>
      <c r="F7" s="55" t="s">
        <v>33</v>
      </c>
      <c r="G7" s="69" t="s">
        <v>50</v>
      </c>
      <c r="H7" s="55" t="s">
        <v>73</v>
      </c>
      <c r="I7" s="55" t="s">
        <v>74</v>
      </c>
    </row>
    <row r="8" spans="1:9" ht="144" customHeight="1">
      <c r="A8" s="52"/>
      <c r="B8" s="52"/>
      <c r="C8" s="52"/>
      <c r="D8" s="55"/>
      <c r="E8" s="55"/>
      <c r="F8" s="55"/>
      <c r="G8" s="69"/>
      <c r="H8" s="55"/>
      <c r="I8" s="55"/>
    </row>
    <row r="9" spans="1:9" ht="20.25">
      <c r="A9" s="14">
        <v>1</v>
      </c>
      <c r="B9" s="14" t="s">
        <v>1</v>
      </c>
      <c r="C9" s="21">
        <f>'1 часть дотации'!C9</f>
        <v>11280</v>
      </c>
      <c r="D9" s="29">
        <v>49380.800000000003</v>
      </c>
      <c r="E9" s="30">
        <f>($D$19+параметры!$B$6)/'2 часть дотации'!$D$19</f>
        <v>4.3480768072233618</v>
      </c>
      <c r="F9" s="30">
        <f>ИНП!N10/ИБР!U9</f>
        <v>2.2186712847363088</v>
      </c>
      <c r="G9" s="29">
        <f>($D$19/$C$19)*(E9-F9)*ИБР!U9*'2 часть дотации'!C9</f>
        <v>46113.228672178877</v>
      </c>
      <c r="H9" s="29">
        <f>параметры!$B$6*'2 часть дотации'!G9/SUM($G$9:$G$18)</f>
        <v>46113.228672178877</v>
      </c>
      <c r="I9" s="29">
        <f>'1 часть дотации'!D9+'2 часть дотации'!H9</f>
        <v>63214.967308542517</v>
      </c>
    </row>
    <row r="10" spans="1:9" ht="20.25">
      <c r="A10" s="14">
        <v>2</v>
      </c>
      <c r="B10" s="14" t="s">
        <v>2</v>
      </c>
      <c r="C10" s="21">
        <f>'1 часть дотации'!C10</f>
        <v>3321</v>
      </c>
      <c r="D10" s="29">
        <v>6647.2</v>
      </c>
      <c r="E10" s="30">
        <f>($D$19+параметры!$B$6)/'2 часть дотации'!$D$19</f>
        <v>4.3480768072233618</v>
      </c>
      <c r="F10" s="30">
        <f>ИНП!N11/ИБР!U10</f>
        <v>0.89638456458484661</v>
      </c>
      <c r="G10" s="29">
        <f>($D$19/$C$19)*(E10-F10)*ИБР!U10*'2 часть дотации'!C10</f>
        <v>25705.529893881252</v>
      </c>
      <c r="H10" s="29">
        <f>параметры!$B$6*'2 часть дотации'!G10/SUM($G$9:$G$18)</f>
        <v>25705.529893881252</v>
      </c>
      <c r="I10" s="29">
        <f>'1 часть дотации'!D10+'2 часть дотации'!H10</f>
        <v>30740.536455172354</v>
      </c>
    </row>
    <row r="11" spans="1:9" ht="20.25">
      <c r="A11" s="14">
        <v>3</v>
      </c>
      <c r="B11" s="14" t="s">
        <v>3</v>
      </c>
      <c r="C11" s="21">
        <f>'1 часть дотации'!C11</f>
        <v>1600</v>
      </c>
      <c r="D11" s="29">
        <v>2475.3000000000002</v>
      </c>
      <c r="E11" s="30">
        <f>($D$19+параметры!$B$6)/'2 часть дотации'!$D$19</f>
        <v>4.3480768072233618</v>
      </c>
      <c r="F11" s="30">
        <f>ИНП!N12/ИБР!U11</f>
        <v>0.70142458575478195</v>
      </c>
      <c r="G11" s="29">
        <f>($D$19/$C$19)*(E11-F11)*ИБР!U11*'2 часть дотации'!C11</f>
        <v>16536.534563265737</v>
      </c>
      <c r="H11" s="29">
        <f>параметры!$B$6*'2 часть дотации'!G11/SUM($G$9:$G$18)</f>
        <v>16536.534563265737</v>
      </c>
      <c r="I11" s="29">
        <f>'1 часть дотации'!D11+'2 часть дотации'!H11</f>
        <v>18962.313093246394</v>
      </c>
    </row>
    <row r="12" spans="1:9" ht="20.25">
      <c r="A12" s="14">
        <v>4</v>
      </c>
      <c r="B12" s="14" t="s">
        <v>4</v>
      </c>
      <c r="C12" s="21">
        <f>'1 часть дотации'!C12</f>
        <v>2944</v>
      </c>
      <c r="D12" s="29">
        <v>3468.1</v>
      </c>
      <c r="E12" s="30">
        <f>($D$19+параметры!$B$6)/'2 часть дотации'!$D$19</f>
        <v>4.3480768072233618</v>
      </c>
      <c r="F12" s="30">
        <f>ИНП!N13/ИБР!U12</f>
        <v>0.60435752003160148</v>
      </c>
      <c r="G12" s="29">
        <f>($D$19/$C$19)*(E12-F12)*ИБР!U12*'2 часть дотации'!C12</f>
        <v>25019.316605000156</v>
      </c>
      <c r="H12" s="29">
        <f>параметры!$B$6*'2 часть дотации'!G12/SUM($G$9:$G$18)</f>
        <v>25019.316605000156</v>
      </c>
      <c r="I12" s="29">
        <f>'1 часть дотации'!D12+'2 часть дотации'!H12</f>
        <v>29482.749100164569</v>
      </c>
    </row>
    <row r="13" spans="1:9" ht="20.25">
      <c r="A13" s="14">
        <v>5</v>
      </c>
      <c r="B13" s="14" t="s">
        <v>5</v>
      </c>
      <c r="C13" s="21">
        <f>'1 часть дотации'!C13</f>
        <v>4612</v>
      </c>
      <c r="D13" s="29">
        <v>7427.1</v>
      </c>
      <c r="E13" s="30">
        <f>($D$19+параметры!$B$6)/'2 часть дотации'!$D$19</f>
        <v>4.3480768072233618</v>
      </c>
      <c r="F13" s="30">
        <f>ИНП!N14/ИБР!U13</f>
        <v>0.69932022475507616</v>
      </c>
      <c r="G13" s="29">
        <f>($D$19/$C$19)*(E13-F13)*ИБР!U13*'2 часть дотации'!C13</f>
        <v>40877.037342439224</v>
      </c>
      <c r="H13" s="29">
        <f>параметры!$B$6*'2 часть дотации'!G13/SUM($G$9:$G$18)</f>
        <v>40877.037342439224</v>
      </c>
      <c r="I13" s="29">
        <f>'1 часть дотации'!D13+'2 часть дотации'!H13</f>
        <v>47869.343955108467</v>
      </c>
    </row>
    <row r="14" spans="1:9" ht="20.25">
      <c r="A14" s="14">
        <v>6</v>
      </c>
      <c r="B14" s="14" t="s">
        <v>6</v>
      </c>
      <c r="C14" s="21">
        <f>'1 часть дотации'!C14</f>
        <v>2641</v>
      </c>
      <c r="D14" s="29">
        <v>3609.7</v>
      </c>
      <c r="E14" s="30">
        <f>($D$19+параметры!$B$6)/'2 часть дотации'!$D$19</f>
        <v>4.3480768072233618</v>
      </c>
      <c r="F14" s="30">
        <f>ИНП!N15/ИБР!U14</f>
        <v>0.44588238239311301</v>
      </c>
      <c r="G14" s="29">
        <f>($D$19/$C$19)*(E14-F14)*ИБР!U14*'2 часть дотации'!C14</f>
        <v>28531.44128144097</v>
      </c>
      <c r="H14" s="29">
        <f>параметры!$B$6*'2 часть дотации'!G14/SUM($G$9:$G$18)</f>
        <v>28531.44128144097</v>
      </c>
      <c r="I14" s="29">
        <f>'1 часть дотации'!D14+'2 часть дотации'!H14</f>
        <v>32535.491967490292</v>
      </c>
    </row>
    <row r="15" spans="1:9" ht="20.25">
      <c r="A15" s="14">
        <v>7</v>
      </c>
      <c r="B15" s="14" t="s">
        <v>7</v>
      </c>
      <c r="C15" s="21">
        <f>'1 часть дотации'!C15</f>
        <v>2611</v>
      </c>
      <c r="D15" s="29">
        <v>2740.6</v>
      </c>
      <c r="E15" s="30">
        <f>($D$19+параметры!$B$6)/'2 часть дотации'!$D$19</f>
        <v>4.3480768072233618</v>
      </c>
      <c r="F15" s="30">
        <f>ИНП!N16/ИБР!U15</f>
        <v>0.41427692043394587</v>
      </c>
      <c r="G15" s="29">
        <f>($D$19/$C$19)*(E15-F15)*ИБР!U15*'2 часть дотации'!C15</f>
        <v>30200.149451930069</v>
      </c>
      <c r="H15" s="29">
        <f>параметры!$B$6*'2 часть дотации'!G15/SUM($G$9:$G$18)</f>
        <v>30200.149451930069</v>
      </c>
      <c r="I15" s="29">
        <f>'1 часть дотации'!D15+'2 часть дотации'!H15</f>
        <v>34158.716790542254</v>
      </c>
    </row>
    <row r="16" spans="1:9" ht="20.25">
      <c r="A16" s="14">
        <v>8</v>
      </c>
      <c r="B16" s="14" t="s">
        <v>8</v>
      </c>
      <c r="C16" s="21">
        <f>'1 часть дотации'!C16</f>
        <v>1363</v>
      </c>
      <c r="D16" s="29">
        <v>1511.3</v>
      </c>
      <c r="E16" s="30">
        <f>($D$19+параметры!$B$6)/'2 часть дотации'!$D$19</f>
        <v>4.3480768072233618</v>
      </c>
      <c r="F16" s="30">
        <f>ИНП!N17/ИБР!U16</f>
        <v>0.26705262737632718</v>
      </c>
      <c r="G16" s="29">
        <f>($D$19/$C$19)*(E16-F16)*ИБР!U16*'2 часть дотации'!C16</f>
        <v>18022.421633927588</v>
      </c>
      <c r="H16" s="29">
        <f>параметры!$B$6*'2 часть дотации'!G16/SUM($G$9:$G$18)</f>
        <v>18022.421633927588</v>
      </c>
      <c r="I16" s="29">
        <f>'1 часть дотации'!D16+'2 часть дотации'!H16</f>
        <v>20088.881719154859</v>
      </c>
    </row>
    <row r="17" spans="1:9" ht="20.25">
      <c r="A17" s="14">
        <v>9</v>
      </c>
      <c r="B17" s="14" t="s">
        <v>9</v>
      </c>
      <c r="C17" s="21">
        <f>'1 часть дотации'!C17</f>
        <v>617</v>
      </c>
      <c r="D17" s="29">
        <v>706.8</v>
      </c>
      <c r="E17" s="30">
        <f>($D$19+параметры!$B$6)/'2 часть дотации'!$D$19</f>
        <v>4.3480768072233618</v>
      </c>
      <c r="F17" s="30">
        <f>ИНП!N18/ИБР!U17</f>
        <v>0.18182104557525397</v>
      </c>
      <c r="G17" s="29">
        <f>($D$19/$C$19)*(E17-F17)*ИБР!U17*'2 часть дотации'!C17</f>
        <v>15558.927997145563</v>
      </c>
      <c r="H17" s="29">
        <f>параметры!$B$6*'2 часть дотации'!G17/SUM($G$9:$G$18)</f>
        <v>15558.927997145563</v>
      </c>
      <c r="I17" s="29">
        <f>'1 часть дотации'!D17+'2 часть дотации'!H17</f>
        <v>16494.368842769356</v>
      </c>
    </row>
    <row r="18" spans="1:9" ht="20.25">
      <c r="A18" s="14">
        <v>10</v>
      </c>
      <c r="B18" s="14" t="s">
        <v>10</v>
      </c>
      <c r="C18" s="21">
        <f>'1 часть дотации'!C18</f>
        <v>2099</v>
      </c>
      <c r="D18" s="29">
        <v>3369.2</v>
      </c>
      <c r="E18" s="30">
        <f>($D$19+параметры!$B$6)/'2 часть дотации'!$D$19</f>
        <v>4.3480768072233618</v>
      </c>
      <c r="F18" s="30">
        <f>ИНП!N19/ИБР!U18</f>
        <v>0.4886779841005286</v>
      </c>
      <c r="G18" s="29">
        <f>($D$19/$C$19)*(E18-F18)*ИБР!U18*'2 часть дотации'!C18</f>
        <v>25754.922558790608</v>
      </c>
      <c r="H18" s="29">
        <f>параметры!$B$6*'2 часть дотации'!G18/SUM($G$9:$G$18)</f>
        <v>25754.922558790608</v>
      </c>
      <c r="I18" s="29">
        <f>'1 часть дотации'!D18+'2 часть дотации'!H18</f>
        <v>28937.240767808984</v>
      </c>
    </row>
    <row r="19" spans="1:9" ht="20.25">
      <c r="A19" s="14"/>
      <c r="B19" s="23" t="s">
        <v>11</v>
      </c>
      <c r="C19" s="24">
        <f>C9+C10+C11+C12+C13+C14+C15+C16+C17+C18</f>
        <v>33088</v>
      </c>
      <c r="D19" s="22">
        <f t="shared" ref="D19:I19" si="0">D9+D10+D11+D12+D13+D14+D15+D16+D17+D18</f>
        <v>81336.100000000006</v>
      </c>
      <c r="E19" s="32">
        <f>($D$19+параметры!$B$6)/'2 часть дотации'!$D$19</f>
        <v>4.3480768072233618</v>
      </c>
      <c r="F19" s="30"/>
      <c r="G19" s="22">
        <f t="shared" si="0"/>
        <v>272319.51000000007</v>
      </c>
      <c r="H19" s="22">
        <f t="shared" si="0"/>
        <v>272319.51000000007</v>
      </c>
      <c r="I19" s="22">
        <f t="shared" si="0"/>
        <v>322484.61000000004</v>
      </c>
    </row>
    <row r="20" spans="1:9">
      <c r="D20" s="4"/>
    </row>
    <row r="24" spans="1:9" ht="39" customHeight="1">
      <c r="A24" s="62" t="s">
        <v>35</v>
      </c>
      <c r="B24" s="56"/>
      <c r="C24" s="56"/>
      <c r="D24" s="56"/>
      <c r="E24" s="56"/>
      <c r="F24" s="56"/>
      <c r="G24" s="56"/>
      <c r="H24" s="56"/>
    </row>
    <row r="25" spans="1:9" ht="39.75" customHeight="1">
      <c r="A25" s="56"/>
      <c r="B25" s="56"/>
      <c r="C25" s="56"/>
      <c r="D25" s="56"/>
      <c r="E25" s="56"/>
      <c r="F25" s="56"/>
      <c r="G25" s="56"/>
      <c r="H25" s="56"/>
    </row>
  </sheetData>
  <mergeCells count="11">
    <mergeCell ref="A2:I3"/>
    <mergeCell ref="A24:H25"/>
    <mergeCell ref="E7:E8"/>
    <mergeCell ref="F7:F8"/>
    <mergeCell ref="G7:G8"/>
    <mergeCell ref="H7:H8"/>
    <mergeCell ref="I7:I8"/>
    <mergeCell ref="A7:A8"/>
    <mergeCell ref="B7:B8"/>
    <mergeCell ref="C7:C8"/>
    <mergeCell ref="D7:D8"/>
  </mergeCells>
  <pageMargins left="0.43" right="0.26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40" sqref="L39:L4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02-2215</cp:lastModifiedBy>
  <cp:lastPrinted>2013-10-09T03:49:14Z</cp:lastPrinted>
  <dcterms:created xsi:type="dcterms:W3CDTF">1996-10-08T23:32:33Z</dcterms:created>
  <dcterms:modified xsi:type="dcterms:W3CDTF">2013-10-09T08:57:11Z</dcterms:modified>
</cp:coreProperties>
</file>