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 activeTab="1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дотации'!$A$1:$K$25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дотации'!$A$1:$K$25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дотации'!$A$2:$K$19</definedName>
    <definedName name="_xlnm.Print_Area" localSheetId="4">'2 часть дотации (реальные пок2)'!$A$1:$AN$25</definedName>
  </definedNames>
  <calcPr calcId="144525"/>
  <customWorkbookViews>
    <customWorkbookView name="022217 - Личное представление" guid="{CE336351-7BD3-4872-92F0-8965CF315520}" mergeInterval="0" personalView="1" maximized="1" windowWidth="1916" windowHeight="814" tabRatio="960" activeSheetId="6"/>
    <customWorkbookView name="23 - Личное представление" guid="{302671BE-4EBD-4277-AB7D-2E6FD69B3D87}" mergeInterval="0" personalView="1" maximized="1" windowWidth="1916" windowHeight="834" tabRatio="960" activeSheetId="2"/>
  </customWorkbookViews>
</workbook>
</file>

<file path=xl/calcChain.xml><?xml version="1.0" encoding="utf-8"?>
<calcChain xmlns="http://schemas.openxmlformats.org/spreadsheetml/2006/main">
  <c r="B5" i="1" l="1"/>
  <c r="H16" i="4" l="1"/>
  <c r="H15" i="4"/>
  <c r="H13" i="4"/>
  <c r="H12" i="4"/>
  <c r="H11" i="4"/>
  <c r="H10" i="4"/>
  <c r="H9" i="4"/>
  <c r="H8" i="4"/>
  <c r="H7" i="4"/>
  <c r="B8" i="1" l="1"/>
  <c r="F4" i="1" l="1"/>
  <c r="G6" i="1"/>
  <c r="G7" i="1"/>
  <c r="G10" i="1"/>
  <c r="G12" i="1"/>
  <c r="G14" i="1"/>
  <c r="G18" i="1"/>
  <c r="G19" i="1"/>
  <c r="G20" i="1"/>
  <c r="F21" i="1"/>
  <c r="G22" i="1"/>
  <c r="D21" i="1" l="1"/>
  <c r="G21" i="1" s="1"/>
  <c r="D13" i="1"/>
  <c r="G13" i="1" s="1"/>
  <c r="H14" i="4" l="1"/>
  <c r="C8" i="4" l="1"/>
  <c r="C9" i="4"/>
  <c r="C10" i="4"/>
  <c r="C11" i="4"/>
  <c r="C12" i="4"/>
  <c r="C13" i="4"/>
  <c r="C14" i="4"/>
  <c r="C15" i="4"/>
  <c r="C16" i="4"/>
  <c r="C7" i="4"/>
  <c r="F10" i="3"/>
  <c r="N7" i="4" l="1"/>
  <c r="C11" i="3"/>
  <c r="C12" i="3"/>
  <c r="C13" i="3"/>
  <c r="C14" i="3"/>
  <c r="C15" i="3"/>
  <c r="C16" i="3"/>
  <c r="C17" i="3"/>
  <c r="C18" i="3"/>
  <c r="C19" i="3"/>
  <c r="C10" i="3"/>
  <c r="G5" i="1" l="1"/>
  <c r="G8" i="1" l="1"/>
  <c r="B4" i="1"/>
  <c r="B9" i="1" l="1"/>
  <c r="G9" i="1" s="1"/>
  <c r="G4" i="1"/>
  <c r="D10" i="1"/>
  <c r="D7" i="1"/>
  <c r="D6" i="1"/>
  <c r="D5" i="1" l="1"/>
  <c r="D4" i="1"/>
  <c r="D8" i="1" l="1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D19" i="9" s="1"/>
  <c r="AB9" i="9"/>
  <c r="Z9" i="9"/>
  <c r="X9" i="9"/>
  <c r="V9" i="9"/>
  <c r="T9" i="9"/>
  <c r="R9" i="9"/>
  <c r="P9" i="9"/>
  <c r="N9" i="9"/>
  <c r="C9" i="9"/>
  <c r="C19" i="9" l="1"/>
  <c r="P19" i="9"/>
  <c r="N19" i="9"/>
  <c r="V19" i="9"/>
  <c r="AB19" i="9"/>
  <c r="R19" i="9"/>
  <c r="X19" i="9"/>
  <c r="T19" i="9"/>
  <c r="Z19" i="9"/>
  <c r="AH19" i="9"/>
  <c r="AF19" i="9"/>
  <c r="E19" i="9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F8" i="4" l="1"/>
  <c r="F11" i="4"/>
  <c r="C17" i="4"/>
  <c r="N9" i="4"/>
  <c r="N11" i="4"/>
  <c r="N15" i="4"/>
  <c r="N13" i="4"/>
  <c r="N16" i="4"/>
  <c r="F7" i="4"/>
  <c r="N10" i="4"/>
  <c r="N14" i="4"/>
  <c r="N8" i="4"/>
  <c r="N12" i="4"/>
  <c r="P17" i="4"/>
  <c r="Q16" i="4"/>
  <c r="P8" i="4"/>
  <c r="K7" i="4"/>
  <c r="K16" i="4"/>
  <c r="P12" i="4"/>
  <c r="K15" i="4"/>
  <c r="P9" i="4"/>
  <c r="P7" i="4"/>
  <c r="F9" i="4"/>
  <c r="S11" i="4"/>
  <c r="F12" i="4"/>
  <c r="F13" i="4"/>
  <c r="Q13" i="4"/>
  <c r="D17" i="4"/>
  <c r="H17" i="4"/>
  <c r="Q15" i="4"/>
  <c r="D19" i="5"/>
  <c r="S9" i="4" l="1"/>
  <c r="F17" i="4"/>
  <c r="G7" i="4"/>
  <c r="Q10" i="4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G16" i="4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11" i="4" l="1"/>
  <c r="G14" i="4"/>
  <c r="G13" i="4"/>
  <c r="G9" i="4"/>
  <c r="G17" i="4"/>
  <c r="K17" i="4"/>
  <c r="G8" i="4"/>
  <c r="G10" i="4"/>
  <c r="G15" i="4"/>
  <c r="G12" i="4"/>
  <c r="K20" i="3"/>
  <c r="L10" i="3" s="1"/>
  <c r="J20" i="3"/>
  <c r="H20" i="3"/>
  <c r="I10" i="3" s="1"/>
  <c r="G20" i="3"/>
  <c r="E20" i="3"/>
  <c r="D20" i="3"/>
  <c r="F19" i="3" s="1"/>
  <c r="F14" i="3" l="1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2" i="3"/>
  <c r="I14" i="3"/>
  <c r="I16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7" i="4" s="1"/>
  <c r="L9" i="4" l="1"/>
  <c r="L10" i="4"/>
  <c r="L15" i="4"/>
  <c r="L13" i="4"/>
  <c r="L14" i="4"/>
  <c r="L8" i="4"/>
  <c r="L7" i="4"/>
  <c r="L12" i="4"/>
  <c r="L16" i="4"/>
  <c r="L11" i="4"/>
  <c r="C17" i="2" l="1"/>
  <c r="D7" i="2" s="1"/>
  <c r="D10" i="2" l="1"/>
  <c r="D14" i="2"/>
  <c r="D11" i="2"/>
  <c r="D15" i="2"/>
  <c r="D8" i="2"/>
  <c r="D12" i="2"/>
  <c r="D16" i="2"/>
  <c r="D9" i="2"/>
  <c r="D13" i="2"/>
  <c r="B19" i="1"/>
  <c r="B20" i="1"/>
  <c r="B18" i="1"/>
  <c r="B21" i="1" l="1"/>
  <c r="T7" i="4"/>
  <c r="T12" i="4"/>
  <c r="T16" i="4"/>
  <c r="T8" i="4"/>
  <c r="T13" i="4"/>
  <c r="T15" i="4"/>
  <c r="T9" i="4"/>
  <c r="T11" i="4"/>
  <c r="T14" i="4"/>
  <c r="T10" i="4"/>
  <c r="B22" i="1"/>
  <c r="D17" i="2"/>
  <c r="U10" i="4" l="1"/>
  <c r="U14" i="4"/>
  <c r="U7" i="4"/>
  <c r="U8" i="4"/>
  <c r="U11" i="4"/>
  <c r="U9" i="4"/>
  <c r="U16" i="4"/>
  <c r="U15" i="4"/>
  <c r="U13" i="4"/>
  <c r="U12" i="4"/>
  <c r="G11" i="5" l="1"/>
  <c r="F11" i="9"/>
  <c r="G16" i="5"/>
  <c r="F16" i="9"/>
  <c r="G15" i="5"/>
  <c r="F15" i="9"/>
  <c r="G13" i="5"/>
  <c r="F13" i="9"/>
  <c r="G12" i="5"/>
  <c r="F12" i="9"/>
  <c r="G17" i="5"/>
  <c r="F17" i="9"/>
  <c r="G10" i="5"/>
  <c r="F10" i="9"/>
  <c r="G14" i="5"/>
  <c r="F14" i="9"/>
  <c r="G18" i="5"/>
  <c r="F18" i="9"/>
  <c r="G9" i="5"/>
  <c r="F9" i="9"/>
  <c r="E9" i="5" l="1"/>
  <c r="H9" i="5" l="1"/>
  <c r="D9" i="1"/>
  <c r="E11" i="9"/>
  <c r="G11" i="9" s="1"/>
  <c r="E15" i="5"/>
  <c r="E15" i="9"/>
  <c r="G15" i="9" s="1"/>
  <c r="E11" i="5"/>
  <c r="E16" i="9"/>
  <c r="G16" i="9" s="1"/>
  <c r="E12" i="9"/>
  <c r="G12" i="9" s="1"/>
  <c r="E16" i="5"/>
  <c r="E12" i="5"/>
  <c r="E18" i="9"/>
  <c r="G18" i="9" s="1"/>
  <c r="E14" i="9"/>
  <c r="G14" i="9" s="1"/>
  <c r="E10" i="9"/>
  <c r="G10" i="9" s="1"/>
  <c r="E18" i="5"/>
  <c r="E14" i="5"/>
  <c r="E10" i="5"/>
  <c r="E17" i="9"/>
  <c r="G17" i="9" s="1"/>
  <c r="E13" i="9"/>
  <c r="G13" i="9" s="1"/>
  <c r="E9" i="9"/>
  <c r="G9" i="9" s="1"/>
  <c r="E17" i="5"/>
  <c r="E13" i="5"/>
  <c r="H18" i="5" l="1"/>
  <c r="H12" i="5"/>
  <c r="H11" i="5"/>
  <c r="H14" i="5"/>
  <c r="H13" i="5"/>
  <c r="H16" i="5"/>
  <c r="H17" i="5"/>
  <c r="I9" i="5" s="1"/>
  <c r="H10" i="5"/>
  <c r="H15" i="5"/>
  <c r="H18" i="9"/>
  <c r="I18" i="9" s="1"/>
  <c r="L18" i="9" s="1"/>
  <c r="H13" i="9"/>
  <c r="I13" i="9" s="1"/>
  <c r="L13" i="9" s="1"/>
  <c r="I18" i="5"/>
  <c r="J18" i="5" s="1"/>
  <c r="F18" i="5" s="1"/>
  <c r="I15" i="5"/>
  <c r="J15" i="5" s="1"/>
  <c r="F15" i="5" s="1"/>
  <c r="H10" i="9"/>
  <c r="I10" i="9" s="1"/>
  <c r="L10" i="9" s="1"/>
  <c r="H19" i="5"/>
  <c r="H14" i="9"/>
  <c r="I14" i="9" s="1"/>
  <c r="L14" i="9" s="1"/>
  <c r="H12" i="9"/>
  <c r="I12" i="9" s="1"/>
  <c r="L12" i="9" s="1"/>
  <c r="I11" i="5"/>
  <c r="J11" i="5" s="1"/>
  <c r="F11" i="5" s="1"/>
  <c r="G19" i="9"/>
  <c r="H9" i="9"/>
  <c r="H17" i="9"/>
  <c r="I17" i="9" s="1"/>
  <c r="L17" i="9" s="1"/>
  <c r="I16" i="5"/>
  <c r="J16" i="5" s="1"/>
  <c r="F16" i="5" s="1"/>
  <c r="I10" i="5"/>
  <c r="J10" i="5" s="1"/>
  <c r="F10" i="5" s="1"/>
  <c r="H11" i="9"/>
  <c r="I11" i="9" s="1"/>
  <c r="L11" i="9" s="1"/>
  <c r="H16" i="9"/>
  <c r="I16" i="9" s="1"/>
  <c r="L16" i="9" s="1"/>
  <c r="I12" i="5"/>
  <c r="J12" i="5" s="1"/>
  <c r="F12" i="5" s="1"/>
  <c r="I14" i="5"/>
  <c r="J14" i="5" s="1"/>
  <c r="F14" i="5" s="1"/>
  <c r="I17" i="5"/>
  <c r="J17" i="5" s="1"/>
  <c r="F17" i="5" s="1"/>
  <c r="H15" i="9"/>
  <c r="I15" i="9" s="1"/>
  <c r="L15" i="9" s="1"/>
  <c r="I13" i="5" l="1"/>
  <c r="J13" i="5" s="1"/>
  <c r="F13" i="5" s="1"/>
  <c r="L23" i="9"/>
  <c r="I9" i="9"/>
  <c r="H19" i="9"/>
  <c r="I19" i="5"/>
  <c r="J9" i="5"/>
  <c r="F9" i="5" s="1"/>
  <c r="J19" i="5" l="1"/>
  <c r="L9" i="9"/>
  <c r="L19" i="9" s="1"/>
  <c r="I19" i="9"/>
</calcChain>
</file>

<file path=xl/sharedStrings.xml><?xml version="1.0" encoding="utf-8"?>
<sst xmlns="http://schemas.openxmlformats.org/spreadsheetml/2006/main" count="168" uniqueCount="100">
  <si>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</si>
  <si>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</si>
  <si>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</si>
  <si>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</si>
  <si>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</si>
  <si>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</si>
  <si>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</si>
  <si>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</si>
  <si>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</si>
  <si>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</si>
  <si>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</si>
  <si>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</si>
  <si>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</si>
  <si>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</si>
  <si>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</si>
  <si>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</si>
  <si>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</si>
  <si>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</si>
  <si>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</si>
  <si>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</si>
  <si>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</si>
  <si>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</si>
  <si>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</si>
  <si>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</si>
  <si>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</si>
  <si>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</si>
  <si>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</si>
  <si>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</si>
  <si>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</si>
  <si>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</si>
  <si>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</si>
  <si>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</si>
  <si>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</si>
  <si>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</si>
  <si>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</si>
  <si>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</si>
  <si>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</si>
  <si>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</si>
  <si>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</si>
  <si>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</si>
  <si>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</si>
  <si>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</si>
  <si>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</si>
  <si>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</si>
  <si>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</si>
  <si>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</si>
  <si>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</si>
  <si>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</si>
  <si>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</si>
  <si>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</si>
  <si>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</si>
  <si>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</si>
  <si>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</si>
  <si>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</si>
  <si>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</si>
  <si>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</si>
  <si>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отклонение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</si>
  <si>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</si>
  <si>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</si>
  <si>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</si>
  <si>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Прогноз налоговых доходов на 2023 год, тыс.руб.</t>
  </si>
  <si>
    <t>Параметры распределения районного фонда финансовой поддержки поселений на 2023 год</t>
  </si>
  <si>
    <t>Численность постоянного населения на 01.01.2022 года, чел.</t>
  </si>
  <si>
    <t>Расчет размера второй части дотации на 2023 год (при реальных доходах)</t>
  </si>
  <si>
    <t>2023 год</t>
  </si>
  <si>
    <t>2022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</si>
  <si>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</si>
  <si>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</si>
  <si>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</si>
  <si>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</si>
  <si>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</si>
  <si>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Фактическое исполнение за 2022 год (без учета целевых средств)</t>
  </si>
  <si>
    <t>Численность постоянного населения, чел. На 01.01.2023</t>
  </si>
  <si>
    <t>Налог на доходы физических лиц (форма 5-НДФЛ за 2022 год), руб.</t>
  </si>
  <si>
    <t>Налог на имущество физических лиц (форма 5-МН за 2022 год), тыс.руб.</t>
  </si>
  <si>
    <t>Земельный налог (форма 5-МН за 2022 год), тыс.руб.</t>
  </si>
  <si>
    <t>Численность постоянного населения, на 01.01.2023 года/ чел.</t>
  </si>
  <si>
    <t>Численность постоянного сельского населения, на 01.01.2023 года /чел.</t>
  </si>
  <si>
    <t>Площадь жилого фонда по состоянию на 01.01.2023 года, тыс.кв.м</t>
  </si>
  <si>
    <t>Протяженность дорог, км на 01.01.2023 года</t>
  </si>
  <si>
    <t>Численность постоянного населения на 01.01.2023 года, чел.</t>
  </si>
  <si>
    <t>Численность постоянного населения, проживающего в населенных пунктах с численностью населения не более 500 чел., на 01.01.2023 года /  чел.</t>
  </si>
  <si>
    <t>Параметры распределения районного фонда финансовой поддержки поселений на 2025 год</t>
  </si>
  <si>
    <t>Расчет размера первой части дотации на 2025 год</t>
  </si>
  <si>
    <t>Размер первой части дотации на 2025 год, тыс.руб.</t>
  </si>
  <si>
    <t>Расчет индекса налогового потенциала поселений на 2025 год</t>
  </si>
  <si>
    <t>Налог на доходы физических лиц (прогноз поступлений на 2025 год), тыс.руб.</t>
  </si>
  <si>
    <t>Налог на имущество физических лиц (прогноз поступлений на 2025 год), тыс.руб.</t>
  </si>
  <si>
    <t>Земельный налог (прогноз поступлений на 2025 год), тыс.руб.</t>
  </si>
  <si>
    <t>Расчет индекса бюджетных расходов на 2025 год</t>
  </si>
  <si>
    <t>Экономически обоснованный тариф на водоснабжение и водоотведение, руб. за куб.м на 2025 год</t>
  </si>
  <si>
    <t>Экономически обоснованный тариф на теплоснабжение, руб. за Гкал. на 2025 год</t>
  </si>
  <si>
    <t>Экономически обоснованный тариф на электроснабжение, за кВТ.час на 2025 год</t>
  </si>
  <si>
    <t>Расчет размера второй части дотации на 2025 год</t>
  </si>
  <si>
    <t>Прогноз налоговых доходов на 2025 год, тыс.руб.</t>
  </si>
  <si>
    <t>Размер второй части дотации на выравнивание бюджетной обеспеченности на 2025 год, тыс.руб.</t>
  </si>
  <si>
    <t>Размер дотации на выравнивание бюджетной обеспеченности на 2025 год, тыс.руб. (1 часть + 2 часть дотации)</t>
  </si>
  <si>
    <t>Уровень расчетной бюджетной обеспеченности,после предоставления дотации на выравнивание бюджетной обеспеченности</t>
  </si>
  <si>
    <t>71022,4-840,9=70 181,5</t>
  </si>
  <si>
    <t>840,9 тыс.рублей - администрирование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</si>
</sst>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9" fillId="2" borderId="15" xfId="0" applyFont="1" applyFill="1" applyBorder="1"/>
    <xf numFmtId="0" fontId="9" fillId="2" borderId="0" xfId="0" applyFont="1" applyFill="1" applyBorder="1"/>
    <xf numFmtId="0" fontId="9" fillId="2" borderId="16" xfId="0" applyFont="1" applyFill="1" applyBorder="1"/>
    <xf numFmtId="0" fontId="5" fillId="2" borderId="6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5" fillId="2" borderId="8" xfId="0" applyFont="1" applyFill="1" applyBorder="1"/>
    <xf numFmtId="0" fontId="10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8" xfId="0" applyNumberFormat="1" applyFont="1" applyFill="1" applyBorder="1"/>
    <xf numFmtId="10" fontId="9" fillId="2" borderId="1" xfId="0" applyNumberFormat="1" applyFont="1" applyFill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wrapText="1"/>
    </xf>
    <xf numFmtId="165" fontId="9" fillId="2" borderId="23" xfId="0" applyNumberFormat="1" applyFont="1" applyFill="1" applyBorder="1"/>
    <xf numFmtId="0" fontId="9" fillId="2" borderId="24" xfId="0" applyFont="1" applyFill="1" applyBorder="1"/>
    <xf numFmtId="164" fontId="9" fillId="2" borderId="25" xfId="0" applyNumberFormat="1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/>
    <xf numFmtId="0" fontId="9" fillId="2" borderId="30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4" fontId="9" fillId="2" borderId="1" xfId="0" applyNumberFormat="1" applyFont="1" applyFill="1" applyBorder="1" applyAlignment="1"/>
    <xf numFmtId="10" fontId="5" fillId="2" borderId="19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 wrapText="1"/>
    </xf>
    <xf numFmtId="168" fontId="10" fillId="2" borderId="18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164" fontId="10" fillId="2" borderId="18" xfId="0" applyNumberFormat="1" applyFont="1" applyFill="1" applyBorder="1"/>
    <xf numFmtId="164" fontId="23" fillId="2" borderId="1" xfId="0" applyNumberFormat="1" applyFont="1" applyFill="1" applyBorder="1" applyAlignment="1"/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5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 refreshError="1">
        <row r="6">
          <cell r="B6">
            <v>226858.99999999997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view="pageBreakPreview" topLeftCell="A4" zoomScale="60" zoomScaleNormal="75" workbookViewId="0">
      <selection activeCell="B5" sqref="B5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19" hidden="1" customWidth="1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1" spans="1:17" ht="18.75" thickBot="1" x14ac:dyDescent="0.3"/>
    <row r="2" spans="1:17" ht="66" customHeight="1" x14ac:dyDescent="0.35">
      <c r="A2" s="140" t="s">
        <v>82</v>
      </c>
      <c r="B2" s="141"/>
      <c r="C2" s="141"/>
      <c r="D2" s="142"/>
      <c r="E2" s="143" t="s">
        <v>61</v>
      </c>
      <c r="F2" s="143"/>
      <c r="G2" s="144"/>
    </row>
    <row r="3" spans="1:17" ht="20.25" x14ac:dyDescent="0.3">
      <c r="A3" s="90"/>
      <c r="B3" s="91"/>
      <c r="C3" s="91"/>
      <c r="D3" s="92"/>
      <c r="E3" s="145"/>
      <c r="F3" s="145"/>
      <c r="G3" s="146"/>
      <c r="I3" s="20"/>
      <c r="J3" s="20"/>
      <c r="K3" s="20"/>
      <c r="L3" s="20"/>
      <c r="M3" s="20"/>
      <c r="N3" s="20"/>
      <c r="O3" s="20"/>
    </row>
    <row r="4" spans="1:17" ht="81" x14ac:dyDescent="0.3">
      <c r="A4" s="99" t="s">
        <v>43</v>
      </c>
      <c r="B4" s="86">
        <f>B5+B6+B7</f>
        <v>297072.59999999998</v>
      </c>
      <c r="C4" s="91"/>
      <c r="D4" s="128">
        <f t="shared" ref="D4:D10" si="0">B4/F4</f>
        <v>1.0285332649196952</v>
      </c>
      <c r="E4" s="89"/>
      <c r="F4" s="88">
        <f>F5+F6+F7</f>
        <v>288831.3</v>
      </c>
      <c r="G4" s="88">
        <f>B4-F4</f>
        <v>8241.2999999999884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69.75" customHeight="1" x14ac:dyDescent="0.3">
      <c r="A5" s="100" t="s">
        <v>66</v>
      </c>
      <c r="B5" s="85">
        <f>71022.4-840.9</f>
        <v>70181.5</v>
      </c>
      <c r="C5" s="91"/>
      <c r="D5" s="126">
        <f t="shared" si="0"/>
        <v>1.0263874507876896</v>
      </c>
      <c r="E5" s="89"/>
      <c r="F5" s="87">
        <v>68377.2</v>
      </c>
      <c r="G5" s="87">
        <f t="shared" ref="G5:G7" si="1">B5-F5</f>
        <v>1804.3000000000029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54.75" customHeight="1" x14ac:dyDescent="0.3">
      <c r="A6" s="100" t="s">
        <v>67</v>
      </c>
      <c r="B6" s="85">
        <v>127474.3</v>
      </c>
      <c r="C6" s="91"/>
      <c r="D6" s="126">
        <f t="shared" si="0"/>
        <v>1.0531819530012649</v>
      </c>
      <c r="E6" s="89"/>
      <c r="F6" s="87">
        <v>121037.3</v>
      </c>
      <c r="G6" s="87">
        <f t="shared" si="1"/>
        <v>6437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3.75" customHeight="1" x14ac:dyDescent="0.3">
      <c r="A7" s="100" t="s">
        <v>68</v>
      </c>
      <c r="B7" s="85">
        <v>99416.8</v>
      </c>
      <c r="C7" s="91"/>
      <c r="D7" s="126">
        <f t="shared" si="0"/>
        <v>1</v>
      </c>
      <c r="E7" s="89"/>
      <c r="F7" s="87">
        <v>99416.8</v>
      </c>
      <c r="G7" s="87">
        <f t="shared" si="1"/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93.75" customHeight="1" x14ac:dyDescent="0.3">
      <c r="A8" s="99" t="s">
        <v>44</v>
      </c>
      <c r="B8" s="85">
        <f>B5</f>
        <v>70181.5</v>
      </c>
      <c r="C8" s="91"/>
      <c r="D8" s="127">
        <f t="shared" si="0"/>
        <v>1.0263874507876896</v>
      </c>
      <c r="E8" s="89"/>
      <c r="F8" s="87">
        <v>68377.2</v>
      </c>
      <c r="G8" s="88">
        <f>B8-F8</f>
        <v>1804.3000000000029</v>
      </c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81" x14ac:dyDescent="0.3">
      <c r="A9" s="99" t="s">
        <v>45</v>
      </c>
      <c r="B9" s="85">
        <f>B4-B8</f>
        <v>226891.09999999998</v>
      </c>
      <c r="C9" s="91"/>
      <c r="D9" s="127">
        <f t="shared" si="0"/>
        <v>1.0291988218862791</v>
      </c>
      <c r="E9" s="89"/>
      <c r="F9" s="87">
        <v>220454.1</v>
      </c>
      <c r="G9" s="88">
        <f>B9-F9</f>
        <v>6436.9999999999709</v>
      </c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67.5" customHeight="1" x14ac:dyDescent="0.35">
      <c r="A10" s="129" t="s">
        <v>70</v>
      </c>
      <c r="B10" s="130">
        <v>901288.6</v>
      </c>
      <c r="C10" s="131"/>
      <c r="D10" s="133">
        <f t="shared" si="0"/>
        <v>0.88271789270155543</v>
      </c>
      <c r="E10" s="132"/>
      <c r="F10" s="130">
        <v>1021038.1</v>
      </c>
      <c r="G10" s="88">
        <f>B10-F10</f>
        <v>-119749.5</v>
      </c>
    </row>
    <row r="11" spans="1:17" ht="109.5" customHeight="1" x14ac:dyDescent="0.25">
      <c r="A11" s="136" t="s">
        <v>20</v>
      </c>
      <c r="B11" s="137"/>
      <c r="C11" s="101"/>
      <c r="D11" s="102" t="s">
        <v>71</v>
      </c>
      <c r="E11" s="93"/>
      <c r="F11" s="103" t="s">
        <v>69</v>
      </c>
      <c r="G11" s="94" t="s">
        <v>56</v>
      </c>
    </row>
    <row r="12" spans="1:17" ht="199.5" customHeight="1" x14ac:dyDescent="0.3">
      <c r="A12" s="104" t="s">
        <v>46</v>
      </c>
      <c r="B12" s="105">
        <f>D12/D14</f>
        <v>0.40878341278330638</v>
      </c>
      <c r="C12" s="91"/>
      <c r="D12" s="106">
        <v>283936.15000000002</v>
      </c>
      <c r="E12" s="89"/>
      <c r="F12" s="125">
        <v>262518.49300000002</v>
      </c>
      <c r="G12" s="88">
        <f>D12-F12</f>
        <v>21417.657000000007</v>
      </c>
    </row>
    <row r="13" spans="1:17" ht="121.5" x14ac:dyDescent="0.3">
      <c r="A13" s="104" t="s">
        <v>50</v>
      </c>
      <c r="B13" s="105">
        <f>D13/D14</f>
        <v>4.6716627595292839E-2</v>
      </c>
      <c r="C13" s="91"/>
      <c r="D13" s="106">
        <f>15329.62+17119.2</f>
        <v>32448.82</v>
      </c>
      <c r="E13" s="89"/>
      <c r="F13" s="125">
        <v>35110.483999999997</v>
      </c>
      <c r="G13" s="88">
        <f>D13-F13</f>
        <v>-2661.663999999997</v>
      </c>
    </row>
    <row r="14" spans="1:17" ht="35.25" customHeight="1" x14ac:dyDescent="0.3">
      <c r="A14" s="104" t="s">
        <v>42</v>
      </c>
      <c r="B14" s="107"/>
      <c r="C14" s="91"/>
      <c r="D14" s="134">
        <v>694588.23699999996</v>
      </c>
      <c r="E14" s="132"/>
      <c r="F14" s="135">
        <v>711245.93200000003</v>
      </c>
      <c r="G14" s="88">
        <f>D14-F14</f>
        <v>-16657.695000000065</v>
      </c>
    </row>
    <row r="15" spans="1:17" ht="20.25" x14ac:dyDescent="0.3">
      <c r="A15" s="90"/>
      <c r="B15" s="91"/>
      <c r="C15" s="91"/>
      <c r="D15" s="108"/>
      <c r="E15" s="95"/>
      <c r="F15" s="96"/>
      <c r="G15" s="97"/>
    </row>
    <row r="16" spans="1:17" ht="21" thickBot="1" x14ac:dyDescent="0.35">
      <c r="A16" s="113"/>
      <c r="B16" s="111"/>
      <c r="C16" s="111"/>
      <c r="D16" s="114"/>
      <c r="E16" s="98"/>
      <c r="F16" s="96"/>
      <c r="G16" s="97"/>
    </row>
    <row r="17" spans="1:7" ht="76.5" customHeight="1" x14ac:dyDescent="0.3">
      <c r="A17" s="138" t="s">
        <v>19</v>
      </c>
      <c r="B17" s="139"/>
      <c r="C17" s="117"/>
      <c r="D17" s="118" t="s">
        <v>19</v>
      </c>
      <c r="E17" s="115"/>
      <c r="F17" s="103">
        <v>2021</v>
      </c>
      <c r="G17" s="116"/>
    </row>
    <row r="18" spans="1:7" ht="81" x14ac:dyDescent="0.3">
      <c r="A18" s="104" t="s">
        <v>47</v>
      </c>
      <c r="B18" s="105">
        <f>D18/D22</f>
        <v>0.16500332987931093</v>
      </c>
      <c r="C18" s="91"/>
      <c r="D18" s="106">
        <v>114609.372</v>
      </c>
      <c r="E18" s="89"/>
      <c r="F18" s="87">
        <v>113323.67</v>
      </c>
      <c r="G18" s="87">
        <f>D18-F18</f>
        <v>1285.7020000000048</v>
      </c>
    </row>
    <row r="19" spans="1:7" ht="60.75" x14ac:dyDescent="0.3">
      <c r="A19" s="104" t="s">
        <v>48</v>
      </c>
      <c r="B19" s="105">
        <f>D19/D22</f>
        <v>6.6386122804437874E-3</v>
      </c>
      <c r="C19" s="91"/>
      <c r="D19" s="106">
        <v>4611.1019999999999</v>
      </c>
      <c r="F19" s="87">
        <v>6281.625</v>
      </c>
      <c r="G19" s="87">
        <f t="shared" ref="G19:G22" si="2">D19-F19</f>
        <v>-1670.5230000000001</v>
      </c>
    </row>
    <row r="20" spans="1:7" ht="20.25" x14ac:dyDescent="0.3">
      <c r="A20" s="104" t="s">
        <v>30</v>
      </c>
      <c r="B20" s="105">
        <f>D20/D22</f>
        <v>0.10721231376108087</v>
      </c>
      <c r="C20" s="91"/>
      <c r="D20" s="106">
        <v>74468.411999999997</v>
      </c>
      <c r="F20" s="87">
        <v>83212.542000000001</v>
      </c>
      <c r="G20" s="87">
        <f t="shared" si="2"/>
        <v>-8744.1300000000047</v>
      </c>
    </row>
    <row r="21" spans="1:7" ht="40.5" x14ac:dyDescent="0.3">
      <c r="A21" s="104" t="s">
        <v>49</v>
      </c>
      <c r="B21" s="105">
        <f>D21/D22</f>
        <v>0.72114574407916454</v>
      </c>
      <c r="C21" s="91"/>
      <c r="D21" s="106">
        <f>D22-D18-D19-D20</f>
        <v>500899.35100000002</v>
      </c>
      <c r="F21" s="87">
        <f>F22-F18-F19-F20</f>
        <v>508428.09299999999</v>
      </c>
      <c r="G21" s="87">
        <f t="shared" si="2"/>
        <v>-7528.7419999999693</v>
      </c>
    </row>
    <row r="22" spans="1:7" ht="21" thickBot="1" x14ac:dyDescent="0.35">
      <c r="A22" s="109" t="s">
        <v>15</v>
      </c>
      <c r="B22" s="110">
        <f>B18+B19+B20+B21</f>
        <v>1</v>
      </c>
      <c r="C22" s="111"/>
      <c r="D22" s="112">
        <v>694588.23699999996</v>
      </c>
      <c r="F22" s="87">
        <v>711245.93</v>
      </c>
      <c r="G22" s="87">
        <f t="shared" si="2"/>
        <v>-16657.693000000087</v>
      </c>
    </row>
  </sheetData>
  <customSheetViews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tabSelected="1" workbookViewId="0">
      <selection activeCell="A22" sqref="A22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51" t="s">
        <v>83</v>
      </c>
      <c r="B2" s="151"/>
      <c r="C2" s="151"/>
      <c r="D2" s="151"/>
    </row>
    <row r="3" spans="1:9" x14ac:dyDescent="0.2">
      <c r="A3" s="151"/>
      <c r="B3" s="151"/>
      <c r="C3" s="151"/>
      <c r="D3" s="151"/>
    </row>
    <row r="4" spans="1:9" ht="18" x14ac:dyDescent="0.25">
      <c r="A4" s="6"/>
      <c r="B4" s="6"/>
      <c r="C4" s="6"/>
      <c r="D4" s="6"/>
    </row>
    <row r="5" spans="1:9" ht="12.75" customHeight="1" x14ac:dyDescent="0.2">
      <c r="A5" s="152" t="s">
        <v>0</v>
      </c>
      <c r="B5" s="149" t="s">
        <v>14</v>
      </c>
      <c r="C5" s="154" t="s">
        <v>72</v>
      </c>
      <c r="D5" s="149" t="s">
        <v>84</v>
      </c>
      <c r="E5" s="2"/>
      <c r="F5" s="2"/>
      <c r="G5" s="2"/>
      <c r="H5" s="2"/>
      <c r="I5" s="2"/>
    </row>
    <row r="6" spans="1:9" ht="74.25" customHeight="1" x14ac:dyDescent="0.2">
      <c r="A6" s="153"/>
      <c r="B6" s="150"/>
      <c r="C6" s="155"/>
      <c r="D6" s="150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11079</v>
      </c>
      <c r="D7" s="22">
        <f>параметры!$B$8*'1 часть дотации'!C7/'1 часть дотации'!$C$17</f>
        <v>25497.322134776194</v>
      </c>
      <c r="E7" s="3"/>
    </row>
    <row r="8" spans="1:9" ht="18" x14ac:dyDescent="0.25">
      <c r="A8" s="25">
        <v>2</v>
      </c>
      <c r="B8" s="25" t="s">
        <v>2</v>
      </c>
      <c r="C8" s="62">
        <v>2637</v>
      </c>
      <c r="D8" s="22">
        <f>параметры!$B$8*'1 часть дотации'!C8/'1 часть дотации'!$C$17</f>
        <v>6068.8183472700439</v>
      </c>
      <c r="E8" s="3"/>
    </row>
    <row r="9" spans="1:9" ht="18" customHeight="1" x14ac:dyDescent="0.25">
      <c r="A9" s="25">
        <v>3</v>
      </c>
      <c r="B9" s="25" t="s">
        <v>3</v>
      </c>
      <c r="C9" s="62">
        <v>1557</v>
      </c>
      <c r="D9" s="22">
        <f>параметры!$B$8*'1 часть дотации'!C9/'1 часть дотации'!$C$17</f>
        <v>3583.2954746679784</v>
      </c>
      <c r="E9" s="3"/>
    </row>
    <row r="10" spans="1:9" ht="18" x14ac:dyDescent="0.25">
      <c r="A10" s="25">
        <v>4</v>
      </c>
      <c r="B10" s="25" t="s">
        <v>4</v>
      </c>
      <c r="C10" s="62">
        <v>2458</v>
      </c>
      <c r="D10" s="22">
        <f>параметры!$B$8*'1 часть дотации'!C10/'1 часть дотации'!$C$17</f>
        <v>5656.8659452369238</v>
      </c>
      <c r="E10" s="3"/>
    </row>
    <row r="11" spans="1:9" ht="18" customHeight="1" x14ac:dyDescent="0.25">
      <c r="A11" s="25">
        <v>5</v>
      </c>
      <c r="B11" s="25" t="s">
        <v>5</v>
      </c>
      <c r="C11" s="62">
        <v>4104</v>
      </c>
      <c r="D11" s="22">
        <f>параметры!$B$8*'1 часть дотации'!C11/'1 часть дотации'!$C$17</f>
        <v>9444.98691588785</v>
      </c>
      <c r="E11" s="3"/>
    </row>
    <row r="12" spans="1:9" ht="18" x14ac:dyDescent="0.25">
      <c r="A12" s="25">
        <v>6</v>
      </c>
      <c r="B12" s="25" t="s">
        <v>6</v>
      </c>
      <c r="C12" s="62">
        <v>2588</v>
      </c>
      <c r="D12" s="22">
        <f>параметры!$B$8*'1 часть дотации'!C12/'1 часть дотации'!$C$17</f>
        <v>5956.0492539760617</v>
      </c>
      <c r="E12" s="3"/>
    </row>
    <row r="13" spans="1:9" ht="18" customHeight="1" x14ac:dyDescent="0.25">
      <c r="A13" s="25">
        <v>7</v>
      </c>
      <c r="B13" s="25" t="s">
        <v>7</v>
      </c>
      <c r="C13" s="62">
        <v>2389</v>
      </c>
      <c r="D13" s="22">
        <f>параметры!$B$8*'1 часть дотации'!C13/'1 часть дотации'!$C$17</f>
        <v>5498.0686505984586</v>
      </c>
      <c r="E13" s="3"/>
    </row>
    <row r="14" spans="1:9" ht="18" x14ac:dyDescent="0.25">
      <c r="A14" s="25">
        <v>8</v>
      </c>
      <c r="B14" s="25" t="s">
        <v>8</v>
      </c>
      <c r="C14" s="62">
        <v>1243</v>
      </c>
      <c r="D14" s="22">
        <f>параметры!$B$8*'1 часть дотации'!C14/'1 часть дотации'!$C$17</f>
        <v>2860.6527135595998</v>
      </c>
      <c r="E14" s="3"/>
    </row>
    <row r="15" spans="1:9" ht="18" customHeight="1" x14ac:dyDescent="0.25">
      <c r="A15" s="25">
        <v>9</v>
      </c>
      <c r="B15" s="25" t="s">
        <v>9</v>
      </c>
      <c r="C15" s="62">
        <v>508</v>
      </c>
      <c r="D15" s="22">
        <f>параметры!$B$8*'1 часть дотации'!C15/'1 часть дотации'!$C$17</f>
        <v>1169.1163141498607</v>
      </c>
      <c r="E15" s="3"/>
    </row>
    <row r="16" spans="1:9" ht="18" x14ac:dyDescent="0.25">
      <c r="A16" s="25">
        <v>10</v>
      </c>
      <c r="B16" s="25" t="s">
        <v>10</v>
      </c>
      <c r="C16" s="62">
        <v>1932</v>
      </c>
      <c r="D16" s="22">
        <f>параметры!$B$8*'1 часть дотации'!C16/'1 часть дотации'!$C$17</f>
        <v>4446.3242498770287</v>
      </c>
      <c r="E16" s="3"/>
    </row>
    <row r="17" spans="1:5" ht="18" x14ac:dyDescent="0.25">
      <c r="A17" s="147" t="s">
        <v>11</v>
      </c>
      <c r="B17" s="148"/>
      <c r="C17" s="58">
        <f>C7+C8+C9+C10+C11+C12+C13+C14+C15+C16</f>
        <v>30495</v>
      </c>
      <c r="D17" s="13">
        <f>D7+D8+D9+D10+D11+D12+D13+D14+D15+D16</f>
        <v>70181.499999999985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 t="s">
        <v>98</v>
      </c>
      <c r="B20" s="6"/>
      <c r="C20" s="6"/>
      <c r="D20" s="6"/>
    </row>
    <row r="21" spans="1:5" ht="18" customHeight="1" x14ac:dyDescent="0.25">
      <c r="A21" s="6" t="s">
        <v>99</v>
      </c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CE336351-7BD3-4872-92F0-8965CF315520}">
      <selection activeCell="A22" sqref="A22"/>
      <pageMargins left="0.36" right="0.26" top="1" bottom="1" header="0.5" footer="0.5"/>
      <pageSetup paperSize="9" orientation="portrait" r:id="rId1"/>
      <headerFooter alignWithMargins="0"/>
    </customSheetView>
    <customSheetView guid="{302671BE-4EBD-4277-AB7D-2E6FD69B3D87}">
      <selection activeCell="E5" sqref="E5:E6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19" sqref="K19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56" t="s">
        <v>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57" t="s">
        <v>0</v>
      </c>
      <c r="B7" s="160" t="s">
        <v>14</v>
      </c>
      <c r="C7" s="157" t="s">
        <v>16</v>
      </c>
      <c r="D7" s="164" t="s">
        <v>73</v>
      </c>
      <c r="E7" s="164" t="s">
        <v>86</v>
      </c>
      <c r="F7" s="157" t="s">
        <v>36</v>
      </c>
      <c r="G7" s="164" t="s">
        <v>74</v>
      </c>
      <c r="H7" s="164" t="s">
        <v>87</v>
      </c>
      <c r="I7" s="157" t="s">
        <v>37</v>
      </c>
      <c r="J7" s="164" t="s">
        <v>75</v>
      </c>
      <c r="K7" s="164" t="s">
        <v>88</v>
      </c>
      <c r="L7" s="157" t="s">
        <v>38</v>
      </c>
      <c r="M7" s="157" t="s">
        <v>39</v>
      </c>
      <c r="N7" s="157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58"/>
      <c r="B8" s="161"/>
      <c r="C8" s="158"/>
      <c r="D8" s="164"/>
      <c r="E8" s="164"/>
      <c r="F8" s="158"/>
      <c r="G8" s="164"/>
      <c r="H8" s="164"/>
      <c r="I8" s="158"/>
      <c r="J8" s="164"/>
      <c r="K8" s="164"/>
      <c r="L8" s="158"/>
      <c r="M8" s="158"/>
      <c r="N8" s="158"/>
      <c r="O8" s="2"/>
      <c r="P8" s="2"/>
      <c r="Q8" s="2"/>
      <c r="R8" s="2"/>
      <c r="S8" s="2"/>
      <c r="T8" s="2"/>
      <c r="U8" s="2"/>
    </row>
    <row r="9" spans="1:21" ht="36.75" customHeight="1" x14ac:dyDescent="0.2">
      <c r="A9" s="159"/>
      <c r="B9" s="162"/>
      <c r="C9" s="159"/>
      <c r="D9" s="74" t="s">
        <v>35</v>
      </c>
      <c r="E9" s="74" t="s">
        <v>34</v>
      </c>
      <c r="F9" s="163"/>
      <c r="G9" s="74" t="s">
        <v>35</v>
      </c>
      <c r="H9" s="74" t="s">
        <v>35</v>
      </c>
      <c r="I9" s="163"/>
      <c r="J9" s="74" t="s">
        <v>35</v>
      </c>
      <c r="K9" s="74" t="s">
        <v>35</v>
      </c>
      <c r="L9" s="163"/>
      <c r="M9" s="159"/>
      <c r="N9" s="163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9">
        <f>'1 часть дотации'!C7</f>
        <v>11079</v>
      </c>
      <c r="D10" s="85">
        <v>465238</v>
      </c>
      <c r="E10" s="85">
        <v>44659.9</v>
      </c>
      <c r="F10" s="85">
        <f>($E$10/0.1+$E$11/0.1+$E$12/0.1+$E$13/0.1+$E$14/0.1+$E$15/0.1+$E$16/0.1+$E$17/0.1+$E$18/0.1+$E$19/0.1)*0.1*(D10/$D$20)</f>
        <v>40719.505644520686</v>
      </c>
      <c r="G10" s="85">
        <v>4577</v>
      </c>
      <c r="H10" s="85">
        <v>3000</v>
      </c>
      <c r="I10" s="85">
        <f>$H$20*1*(G10/$G$20)</f>
        <v>2943.1819990295971</v>
      </c>
      <c r="J10" s="85">
        <v>30185</v>
      </c>
      <c r="K10" s="85">
        <v>7661.9</v>
      </c>
      <c r="L10" s="85">
        <f>$K$20*1*(J10/$J$20)</f>
        <v>8977.0015854491012</v>
      </c>
      <c r="M10" s="85">
        <f>F10+I10+L10</f>
        <v>52639.689228999385</v>
      </c>
      <c r="N10" s="120">
        <f>(M10/C10)/($M$20/$C$20)</f>
        <v>1.3167335893012051</v>
      </c>
    </row>
    <row r="11" spans="1:21" ht="20.25" x14ac:dyDescent="0.3">
      <c r="A11" s="29">
        <v>2</v>
      </c>
      <c r="B11" s="56" t="s">
        <v>2</v>
      </c>
      <c r="C11" s="119">
        <f>'1 часть дотации'!C8</f>
        <v>2637</v>
      </c>
      <c r="D11" s="85">
        <v>78410</v>
      </c>
      <c r="E11" s="85">
        <v>5553</v>
      </c>
      <c r="F11" s="85">
        <f t="shared" ref="F11:F19" si="0">($E$10/0.1+$E$11/0.1+$E$12/0.1+$E$13/0.1+$E$14/0.1+$E$15/0.1+$E$16/0.1+$E$17/0.1+$E$18/0.1+$E$19/0.1)*0.1*(D11/$D$20)</f>
        <v>6862.7593566881187</v>
      </c>
      <c r="G11" s="85">
        <v>488</v>
      </c>
      <c r="H11" s="85">
        <v>282</v>
      </c>
      <c r="I11" s="85">
        <f t="shared" ref="I11:I18" si="1">$H$20*1*(G11/$G$20)</f>
        <v>313.80223192624936</v>
      </c>
      <c r="J11" s="85">
        <v>1881</v>
      </c>
      <c r="K11" s="85">
        <v>841.7</v>
      </c>
      <c r="L11" s="85">
        <f t="shared" ref="L11:L19" si="2">$K$20*1*(J11/$J$20)</f>
        <v>559.40831479972701</v>
      </c>
      <c r="M11" s="85">
        <f t="shared" ref="M11:M19" si="3">F11+I11+L11</f>
        <v>7735.9699034140949</v>
      </c>
      <c r="N11" s="120">
        <f t="shared" ref="N11:N20" si="4">(M11/C11)/($M$20/$C$20)</f>
        <v>0.81299860754534925</v>
      </c>
    </row>
    <row r="12" spans="1:21" ht="20.25" x14ac:dyDescent="0.3">
      <c r="A12" s="29">
        <v>3</v>
      </c>
      <c r="B12" s="56" t="s">
        <v>3</v>
      </c>
      <c r="C12" s="119">
        <f>'1 часть дотации'!C9</f>
        <v>1557</v>
      </c>
      <c r="D12" s="85">
        <v>28093</v>
      </c>
      <c r="E12" s="85">
        <v>2608.8000000000002</v>
      </c>
      <c r="F12" s="85">
        <f t="shared" si="0"/>
        <v>2458.8126336875312</v>
      </c>
      <c r="G12" s="85">
        <v>208</v>
      </c>
      <c r="H12" s="85">
        <v>113</v>
      </c>
      <c r="I12" s="85">
        <f t="shared" si="1"/>
        <v>133.75177098495877</v>
      </c>
      <c r="J12" s="85">
        <v>4187</v>
      </c>
      <c r="K12" s="85">
        <v>774</v>
      </c>
      <c r="L12" s="85">
        <f t="shared" si="2"/>
        <v>1245.2113844053467</v>
      </c>
      <c r="M12" s="85">
        <f t="shared" si="3"/>
        <v>3837.7757890778366</v>
      </c>
      <c r="N12" s="120">
        <f t="shared" si="4"/>
        <v>0.68308719820987795</v>
      </c>
    </row>
    <row r="13" spans="1:21" ht="20.25" x14ac:dyDescent="0.3">
      <c r="A13" s="29">
        <v>4</v>
      </c>
      <c r="B13" s="56" t="s">
        <v>4</v>
      </c>
      <c r="C13" s="119">
        <f>'1 часть дотации'!C10</f>
        <v>2458</v>
      </c>
      <c r="D13" s="85">
        <v>51151</v>
      </c>
      <c r="E13" s="85">
        <v>4000</v>
      </c>
      <c r="F13" s="85">
        <f t="shared" si="0"/>
        <v>4476.9417657690847</v>
      </c>
      <c r="G13" s="85">
        <v>288</v>
      </c>
      <c r="H13" s="85">
        <v>202.4</v>
      </c>
      <c r="I13" s="85">
        <f t="shared" si="1"/>
        <v>185.19475982532751</v>
      </c>
      <c r="J13" s="85">
        <v>1703</v>
      </c>
      <c r="K13" s="85">
        <v>731.5</v>
      </c>
      <c r="L13" s="85">
        <f t="shared" si="2"/>
        <v>506.47121749278847</v>
      </c>
      <c r="M13" s="85">
        <f t="shared" si="3"/>
        <v>5168.6077430872001</v>
      </c>
      <c r="N13" s="120">
        <f t="shared" si="4"/>
        <v>0.58274271820501755</v>
      </c>
    </row>
    <row r="14" spans="1:21" ht="20.25" x14ac:dyDescent="0.3">
      <c r="A14" s="29">
        <v>5</v>
      </c>
      <c r="B14" s="56" t="s">
        <v>5</v>
      </c>
      <c r="C14" s="119">
        <f>'1 часть дотации'!C11</f>
        <v>4104</v>
      </c>
      <c r="D14" s="85">
        <v>65304</v>
      </c>
      <c r="E14" s="85">
        <v>5632.8</v>
      </c>
      <c r="F14" s="85">
        <f t="shared" si="0"/>
        <v>5715.6693920311309</v>
      </c>
      <c r="G14" s="85">
        <v>1036</v>
      </c>
      <c r="H14" s="85">
        <v>663.3</v>
      </c>
      <c r="I14" s="85">
        <f t="shared" si="1"/>
        <v>666.18670548277532</v>
      </c>
      <c r="J14" s="85">
        <v>4609</v>
      </c>
      <c r="K14" s="85">
        <v>2488</v>
      </c>
      <c r="L14" s="85">
        <f t="shared" si="2"/>
        <v>1370.7139409420211</v>
      </c>
      <c r="M14" s="85">
        <f t="shared" si="3"/>
        <v>7752.5700384559277</v>
      </c>
      <c r="N14" s="120">
        <f t="shared" si="4"/>
        <v>0.52350822140931264</v>
      </c>
    </row>
    <row r="15" spans="1:21" ht="20.25" x14ac:dyDescent="0.3">
      <c r="A15" s="29">
        <v>6</v>
      </c>
      <c r="B15" s="56" t="s">
        <v>6</v>
      </c>
      <c r="C15" s="119">
        <f>'1 часть дотации'!C12</f>
        <v>2588</v>
      </c>
      <c r="D15" s="85">
        <v>56652</v>
      </c>
      <c r="E15" s="85">
        <v>4600</v>
      </c>
      <c r="F15" s="85">
        <f>($E$10/0.1+$E$11/0.1+$E$12/0.1+$E$13/0.1+$E$14/0.1+$E$15/0.1+$E$16/0.1+$E$17/0.1+$E$18/0.1+$E$19/0.1)*0.1*(D15/$D$20)</f>
        <v>4958.4114663320406</v>
      </c>
      <c r="G15" s="85">
        <v>508</v>
      </c>
      <c r="H15" s="85">
        <v>331.7</v>
      </c>
      <c r="I15" s="85">
        <f t="shared" si="1"/>
        <v>326.66297913634156</v>
      </c>
      <c r="J15" s="85">
        <v>990</v>
      </c>
      <c r="K15" s="85">
        <v>491</v>
      </c>
      <c r="L15" s="85">
        <f t="shared" si="2"/>
        <v>294.4254288419616</v>
      </c>
      <c r="M15" s="85">
        <f>F15+I15+L15</f>
        <v>5579.4998743103433</v>
      </c>
      <c r="N15" s="120">
        <f>(M15/C15)/($M$20/$C$20)</f>
        <v>0.59747007804983043</v>
      </c>
    </row>
    <row r="16" spans="1:21" ht="20.25" x14ac:dyDescent="0.3">
      <c r="A16" s="29">
        <v>7</v>
      </c>
      <c r="B16" s="56" t="s">
        <v>7</v>
      </c>
      <c r="C16" s="119">
        <f>'1 часть дотации'!C13</f>
        <v>2389</v>
      </c>
      <c r="D16" s="85">
        <v>57631</v>
      </c>
      <c r="E16" s="85">
        <v>4500</v>
      </c>
      <c r="F16" s="85">
        <f t="shared" si="0"/>
        <v>5044.0974937545343</v>
      </c>
      <c r="G16" s="85">
        <v>447</v>
      </c>
      <c r="H16" s="85">
        <v>230.5</v>
      </c>
      <c r="I16" s="85">
        <f t="shared" si="1"/>
        <v>287.43770014556037</v>
      </c>
      <c r="J16" s="85">
        <v>890</v>
      </c>
      <c r="K16" s="85">
        <v>215.4</v>
      </c>
      <c r="L16" s="85">
        <f t="shared" si="2"/>
        <v>264.6854865346927</v>
      </c>
      <c r="M16" s="85">
        <f t="shared" si="3"/>
        <v>5596.2206804347879</v>
      </c>
      <c r="N16" s="120">
        <f t="shared" si="4"/>
        <v>0.64917807294325358</v>
      </c>
    </row>
    <row r="17" spans="1:14" ht="20.25" x14ac:dyDescent="0.3">
      <c r="A17" s="29">
        <v>8</v>
      </c>
      <c r="B17" s="56" t="s">
        <v>8</v>
      </c>
      <c r="C17" s="119">
        <f>'1 часть дотации'!C14</f>
        <v>1243</v>
      </c>
      <c r="D17" s="85">
        <v>73925</v>
      </c>
      <c r="E17" s="85">
        <v>5010</v>
      </c>
      <c r="F17" s="85">
        <f t="shared" si="0"/>
        <v>6470.2140727352271</v>
      </c>
      <c r="G17" s="85">
        <v>167</v>
      </c>
      <c r="H17" s="85">
        <v>125.2</v>
      </c>
      <c r="I17" s="85">
        <f t="shared" si="1"/>
        <v>107.38723920426976</v>
      </c>
      <c r="J17" s="85">
        <v>174</v>
      </c>
      <c r="K17" s="85">
        <v>68.2</v>
      </c>
      <c r="L17" s="85">
        <f t="shared" si="2"/>
        <v>51.747499614647793</v>
      </c>
      <c r="M17" s="85">
        <f t="shared" si="3"/>
        <v>6629.348811554144</v>
      </c>
      <c r="N17" s="120">
        <f t="shared" si="4"/>
        <v>1.4780356252027085</v>
      </c>
    </row>
    <row r="18" spans="1:14" ht="20.25" x14ac:dyDescent="0.3">
      <c r="A18" s="29">
        <v>9</v>
      </c>
      <c r="B18" s="56" t="s">
        <v>9</v>
      </c>
      <c r="C18" s="119">
        <f>'1 часть дотации'!C15</f>
        <v>508</v>
      </c>
      <c r="D18" s="85">
        <v>14332</v>
      </c>
      <c r="E18" s="85">
        <v>921.7</v>
      </c>
      <c r="F18" s="85">
        <f t="shared" si="0"/>
        <v>1254.3944280073219</v>
      </c>
      <c r="G18" s="85">
        <v>76</v>
      </c>
      <c r="H18" s="85">
        <v>50.1</v>
      </c>
      <c r="I18" s="85">
        <f t="shared" si="1"/>
        <v>48.870839398350313</v>
      </c>
      <c r="J18" s="85">
        <v>149</v>
      </c>
      <c r="K18" s="85">
        <v>43.1</v>
      </c>
      <c r="L18" s="85">
        <f t="shared" si="2"/>
        <v>44.312514037830582</v>
      </c>
      <c r="M18" s="85">
        <f t="shared" si="3"/>
        <v>1347.5777814435028</v>
      </c>
      <c r="N18" s="120">
        <f t="shared" si="4"/>
        <v>0.73514886256893597</v>
      </c>
    </row>
    <row r="19" spans="1:14" ht="20.25" x14ac:dyDescent="0.3">
      <c r="A19" s="29">
        <v>10</v>
      </c>
      <c r="B19" s="56" t="s">
        <v>10</v>
      </c>
      <c r="C19" s="119">
        <f>'1 часть дотации'!C16</f>
        <v>1932</v>
      </c>
      <c r="D19" s="85">
        <v>151620</v>
      </c>
      <c r="E19" s="85">
        <v>13745</v>
      </c>
      <c r="F19" s="85">
        <f t="shared" si="0"/>
        <v>13270.393746474334</v>
      </c>
      <c r="G19" s="85">
        <v>449</v>
      </c>
      <c r="H19" s="85">
        <v>303</v>
      </c>
      <c r="I19" s="85">
        <f>$H$20*1*(G19/$G$20)</f>
        <v>288.72377486656961</v>
      </c>
      <c r="J19" s="85">
        <v>645</v>
      </c>
      <c r="K19" s="85">
        <v>191</v>
      </c>
      <c r="L19" s="85">
        <f t="shared" si="2"/>
        <v>191.82262788188405</v>
      </c>
      <c r="M19" s="85">
        <f t="shared" si="3"/>
        <v>13750.940149222788</v>
      </c>
      <c r="N19" s="120">
        <f t="shared" si="4"/>
        <v>1.9724701055092886</v>
      </c>
    </row>
    <row r="20" spans="1:14" ht="18" x14ac:dyDescent="0.25">
      <c r="A20" s="30"/>
      <c r="B20" s="57" t="s">
        <v>11</v>
      </c>
      <c r="C20" s="121">
        <f t="shared" ref="C20:M20" si="5">C10+C11+C12+C13+C14+C15+C16+C17+C18+C19</f>
        <v>30495</v>
      </c>
      <c r="D20" s="81">
        <f t="shared" si="5"/>
        <v>1042356</v>
      </c>
      <c r="E20" s="81">
        <f t="shared" si="5"/>
        <v>91231.2</v>
      </c>
      <c r="F20" s="81">
        <f t="shared" si="5"/>
        <v>91231.200000000012</v>
      </c>
      <c r="G20" s="81">
        <f t="shared" si="5"/>
        <v>8244</v>
      </c>
      <c r="H20" s="81">
        <f t="shared" si="5"/>
        <v>5301.2</v>
      </c>
      <c r="I20" s="81">
        <f t="shared" si="5"/>
        <v>5301.2</v>
      </c>
      <c r="J20" s="81">
        <f t="shared" si="5"/>
        <v>45413</v>
      </c>
      <c r="K20" s="81">
        <f t="shared" si="5"/>
        <v>13505.800000000001</v>
      </c>
      <c r="L20" s="81">
        <f t="shared" si="5"/>
        <v>13505.800000000001</v>
      </c>
      <c r="M20" s="81">
        <f t="shared" si="5"/>
        <v>110038.20000000003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65" t="s">
        <v>32</v>
      </c>
      <c r="B27" s="165"/>
      <c r="C27" s="165"/>
      <c r="D27" s="165"/>
      <c r="E27" s="165"/>
      <c r="F27" s="165"/>
      <c r="G27" s="165"/>
      <c r="H27" s="165"/>
      <c r="I27" s="165"/>
      <c r="J27" s="166"/>
      <c r="K27" s="166"/>
      <c r="L27" s="166"/>
      <c r="M27" s="166"/>
    </row>
    <row r="28" spans="1:14" x14ac:dyDescent="0.2">
      <c r="A28" s="165"/>
      <c r="B28" s="165"/>
      <c r="C28" s="165"/>
      <c r="D28" s="165"/>
      <c r="E28" s="165"/>
      <c r="F28" s="165"/>
      <c r="G28" s="165"/>
      <c r="H28" s="165"/>
      <c r="I28" s="165"/>
      <c r="J28" s="166"/>
      <c r="K28" s="166"/>
      <c r="L28" s="166"/>
      <c r="M28" s="166"/>
    </row>
    <row r="29" spans="1:14" ht="24" customHeight="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66"/>
      <c r="K29" s="166"/>
      <c r="L29" s="166"/>
      <c r="M29" s="166"/>
    </row>
    <row r="30" spans="1:14" x14ac:dyDescent="0.2">
      <c r="A30" s="165" t="s">
        <v>33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66"/>
      <c r="L30" s="166"/>
      <c r="M30" s="166"/>
    </row>
    <row r="31" spans="1:14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6"/>
      <c r="K31" s="166"/>
      <c r="L31" s="166"/>
      <c r="M31" s="166"/>
    </row>
    <row r="32" spans="1:14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6"/>
      <c r="K32" s="166"/>
      <c r="L32" s="166"/>
      <c r="M32" s="166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67" t="s">
        <v>12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ht="1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</sheetData>
  <customSheetViews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139"/>
  <sheetViews>
    <sheetView zoomScale="80" zoomScaleNormal="80" workbookViewId="0">
      <pane xSplit="7785" topLeftCell="H1" activePane="topRight"/>
      <selection activeCell="C1" sqref="C1"/>
      <selection pane="topRight" activeCell="J7" sqref="J7:J16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6.5703125" style="6" customWidth="1"/>
    <col min="5" max="5" width="20.85546875" style="6" customWidth="1"/>
    <col min="6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21.5703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77" t="s">
        <v>89</v>
      </c>
      <c r="B2" s="177"/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  <c r="S2" s="179"/>
      <c r="T2" s="179"/>
      <c r="U2" s="179"/>
    </row>
    <row r="3" spans="1:21" ht="18" x14ac:dyDescent="0.25">
      <c r="A3" s="177"/>
      <c r="B3" s="177"/>
      <c r="C3" s="1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79"/>
      <c r="U3" s="179"/>
    </row>
    <row r="4" spans="1:21" ht="3" customHeight="1" x14ac:dyDescent="0.3"/>
    <row r="5" spans="1:21" s="9" customFormat="1" ht="162.75" customHeight="1" x14ac:dyDescent="0.2">
      <c r="A5" s="173" t="s">
        <v>0</v>
      </c>
      <c r="B5" s="171" t="s">
        <v>14</v>
      </c>
      <c r="C5" s="169" t="s">
        <v>76</v>
      </c>
      <c r="D5" s="175" t="s">
        <v>77</v>
      </c>
      <c r="E5" s="175" t="s">
        <v>81</v>
      </c>
      <c r="F5" s="175" t="s">
        <v>51</v>
      </c>
      <c r="G5" s="176" t="s">
        <v>17</v>
      </c>
      <c r="H5" s="175" t="s">
        <v>90</v>
      </c>
      <c r="I5" s="175" t="s">
        <v>91</v>
      </c>
      <c r="J5" s="175" t="s">
        <v>92</v>
      </c>
      <c r="K5" s="175" t="s">
        <v>18</v>
      </c>
      <c r="L5" s="176" t="s">
        <v>25</v>
      </c>
      <c r="M5" s="176" t="s">
        <v>21</v>
      </c>
      <c r="N5" s="175" t="s">
        <v>22</v>
      </c>
      <c r="O5" s="176" t="s">
        <v>78</v>
      </c>
      <c r="P5" s="175" t="s">
        <v>23</v>
      </c>
      <c r="Q5" s="175" t="s">
        <v>24</v>
      </c>
      <c r="R5" s="169" t="s">
        <v>79</v>
      </c>
      <c r="S5" s="169" t="s">
        <v>40</v>
      </c>
      <c r="T5" s="176" t="s">
        <v>27</v>
      </c>
      <c r="U5" s="175" t="s">
        <v>26</v>
      </c>
    </row>
    <row r="6" spans="1:21" s="9" customFormat="1" ht="189" customHeight="1" x14ac:dyDescent="0.2">
      <c r="A6" s="174"/>
      <c r="B6" s="172"/>
      <c r="C6" s="180"/>
      <c r="D6" s="175"/>
      <c r="E6" s="175"/>
      <c r="F6" s="175"/>
      <c r="G6" s="176"/>
      <c r="H6" s="175"/>
      <c r="I6" s="175"/>
      <c r="J6" s="175"/>
      <c r="K6" s="175"/>
      <c r="L6" s="176"/>
      <c r="M6" s="176"/>
      <c r="N6" s="175"/>
      <c r="O6" s="176"/>
      <c r="P6" s="175"/>
      <c r="Q6" s="175"/>
      <c r="R6" s="180"/>
      <c r="S6" s="170"/>
      <c r="T6" s="176"/>
      <c r="U6" s="175"/>
    </row>
    <row r="7" spans="1:21" ht="25.5" x14ac:dyDescent="0.35">
      <c r="A7" s="16">
        <v>1</v>
      </c>
      <c r="B7" s="18" t="s">
        <v>1</v>
      </c>
      <c r="C7" s="75">
        <f>'1 часть дотации'!C7</f>
        <v>11079</v>
      </c>
      <c r="D7" s="75">
        <v>0</v>
      </c>
      <c r="E7" s="60">
        <v>0</v>
      </c>
      <c r="F7" s="76">
        <f>D7/C7</f>
        <v>0</v>
      </c>
      <c r="G7" s="61">
        <f>(1+0.25*F7)/(1+0.25*$F$17)</f>
        <v>0.92713218360227112</v>
      </c>
      <c r="H7" s="124">
        <f>113.22+152.75</f>
        <v>265.97000000000003</v>
      </c>
      <c r="I7" s="124">
        <v>5352.62</v>
      </c>
      <c r="J7" s="124">
        <v>9691.0300000000007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1.0568064245053623</v>
      </c>
      <c r="L7" s="61">
        <f>параметры!$B$12*ИБР!G7+параметры!$B$13*ИБР!K7+1-параметры!$B$12-параметры!$B$13</f>
        <v>0.97286664990950622</v>
      </c>
      <c r="M7" s="60">
        <v>0</v>
      </c>
      <c r="N7" s="61">
        <f>M7+(1-M7)*(AVERAGE($C$7:$C$16))/C7</f>
        <v>0.27525047386948281</v>
      </c>
      <c r="O7" s="124">
        <v>344.53</v>
      </c>
      <c r="P7" s="61">
        <f>(O7/C7)/($O$17/$C$17)</f>
        <v>1.0371979499540955</v>
      </c>
      <c r="Q7" s="61">
        <f>(1+E7/C7)/(1+$E$17/$C$17)</f>
        <v>0.91269603735184968</v>
      </c>
      <c r="R7" s="61">
        <v>81.3</v>
      </c>
      <c r="S7" s="61">
        <f>(R7/C7)/($R$17/$C$17)</f>
        <v>0.64211946988777469</v>
      </c>
      <c r="T7" s="61">
        <f>параметры!$B$18*ИБР!N7+параметры!$B$19*ИБР!P7+параметры!$B$21*ИБР!Q7+параметры!$B$20*ИБР!S7</f>
        <v>0.77933277683905089</v>
      </c>
      <c r="U7" s="61">
        <f>L7*T7*$C$17/SUMPRODUCT($L$7:$L$16,$T$7:$T$16,$C$7:$C$16)</f>
        <v>0.7531585720584566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2637</v>
      </c>
      <c r="D8" s="75">
        <v>30</v>
      </c>
      <c r="E8" s="60">
        <v>30</v>
      </c>
      <c r="F8" s="76">
        <f t="shared" ref="F8:F16" si="0">D8/C8</f>
        <v>1.1376564277588168E-2</v>
      </c>
      <c r="G8" s="61">
        <f t="shared" ref="G8:G17" si="1">(1+0.25*F8)/(1+0.25*$F$17)</f>
        <v>0.92976907832241418</v>
      </c>
      <c r="H8" s="124">
        <f>107.49+0</f>
        <v>107.49</v>
      </c>
      <c r="I8" s="124">
        <v>5084.2</v>
      </c>
      <c r="J8" s="124">
        <v>9691.0300000000007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0.87509295496342687</v>
      </c>
      <c r="L8" s="61">
        <f>параметры!$B$12*ИБР!G8+параметры!$B$13*ИБР!K8+1-параметры!$B$12-параметры!$B$13</f>
        <v>0.96545552824671743</v>
      </c>
      <c r="M8" s="60">
        <f>$M$7</f>
        <v>0</v>
      </c>
      <c r="N8" s="61">
        <f>M8+(1-M8)*(AVERAGE($C$7:$C$16))/C8</f>
        <v>1.1564277588168372</v>
      </c>
      <c r="O8" s="124">
        <v>104.24</v>
      </c>
      <c r="P8" s="61">
        <f t="shared" ref="P8:P17" si="3">(O8/C8)/($O$17/$C$17)</f>
        <v>1.3184371775335184</v>
      </c>
      <c r="Q8" s="61">
        <f t="shared" ref="Q8:Q17" si="4">(1+E8/C8)/(1+$E$17/$C$17)</f>
        <v>0.92307938248668309</v>
      </c>
      <c r="R8" s="61">
        <v>38.799999999999997</v>
      </c>
      <c r="S8" s="61">
        <f t="shared" ref="S8:S17" si="5">(R8/C8)/($R$17/$C$17)</f>
        <v>1.2875006324847427</v>
      </c>
      <c r="T8" s="61">
        <f>параметры!$B$18*ИБР!N8+параметры!$B$19*ИБР!P8+параметры!$B$21*ИБР!Q8+параметры!$B$20*ИБР!S8</f>
        <v>1.0032777141124536</v>
      </c>
      <c r="U8" s="61">
        <f t="shared" ref="U8:U16" si="6">L8*T8*$C$17/SUMPRODUCT($L$7:$L$16,$T$7:$T$16,$C$7:$C$16)</f>
        <v>0.96219612699976731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1557</v>
      </c>
      <c r="D9" s="75">
        <v>0</v>
      </c>
      <c r="E9" s="60">
        <v>0</v>
      </c>
      <c r="F9" s="76">
        <f t="shared" si="0"/>
        <v>0</v>
      </c>
      <c r="G9" s="61">
        <f t="shared" si="1"/>
        <v>0.92713218360227112</v>
      </c>
      <c r="H9" s="124">
        <f>97.66</f>
        <v>97.66</v>
      </c>
      <c r="I9" s="124">
        <v>6182.34</v>
      </c>
      <c r="J9" s="124">
        <v>9691.0300000000007</v>
      </c>
      <c r="K9" s="61">
        <f t="shared" si="2"/>
        <v>1.0006865040638857</v>
      </c>
      <c r="L9" s="61">
        <f>параметры!$B$12*ИБР!G9+параметры!$B$13*ИБР!K9+1-параметры!$B$12-параметры!$B$13</f>
        <v>0.97024491648556421</v>
      </c>
      <c r="M9" s="60">
        <f t="shared" ref="M9:M16" si="7">$M$7</f>
        <v>0</v>
      </c>
      <c r="N9" s="61">
        <f t="shared" ref="N9:N16" si="8">M9+(1-M9)*(AVERAGE($C$7:$C$16))/C9</f>
        <v>1.9585741811175337</v>
      </c>
      <c r="O9" s="124">
        <v>43.3</v>
      </c>
      <c r="P9" s="61">
        <f t="shared" si="3"/>
        <v>0.92754385320503119</v>
      </c>
      <c r="Q9" s="61">
        <f t="shared" si="4"/>
        <v>0.91269603735184968</v>
      </c>
      <c r="R9" s="61">
        <v>24.4</v>
      </c>
      <c r="S9" s="61">
        <f t="shared" si="5"/>
        <v>1.3712829273821467</v>
      </c>
      <c r="T9" s="61">
        <f>параметры!$B$18*ИБР!N9+параметры!$B$19*ИБР!P9+параметры!$B$21*ИБР!Q9+параметры!$B$20*ИБР!S9</f>
        <v>1.1345341441544876</v>
      </c>
      <c r="U9" s="61">
        <f t="shared" si="6"/>
        <v>1.093475639021908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2458</v>
      </c>
      <c r="D10" s="75">
        <v>0</v>
      </c>
      <c r="E10" s="60">
        <v>0</v>
      </c>
      <c r="F10" s="76">
        <f t="shared" si="0"/>
        <v>0</v>
      </c>
      <c r="G10" s="61">
        <f t="shared" si="1"/>
        <v>0.92713218360227112</v>
      </c>
      <c r="H10" s="124">
        <f>106.6+144.06</f>
        <v>250.66</v>
      </c>
      <c r="I10" s="124">
        <v>4520.62</v>
      </c>
      <c r="J10" s="124">
        <v>9691.0300000000007</v>
      </c>
      <c r="K10" s="61">
        <f t="shared" si="2"/>
        <v>0.9402894046932958</v>
      </c>
      <c r="L10" s="61">
        <f>параметры!$B$12*ИБР!G10+параметры!$B$13*ИБР!K10+1-параметры!$B$12-параметры!$B$13</f>
        <v>0.96742336768643256</v>
      </c>
      <c r="M10" s="60">
        <f t="shared" si="7"/>
        <v>0</v>
      </c>
      <c r="N10" s="61">
        <f t="shared" si="8"/>
        <v>1.2406427990235964</v>
      </c>
      <c r="O10" s="124">
        <v>62.77</v>
      </c>
      <c r="P10" s="61">
        <f t="shared" si="3"/>
        <v>0.85173681240182386</v>
      </c>
      <c r="Q10" s="61">
        <f t="shared" si="4"/>
        <v>0.91269603735184968</v>
      </c>
      <c r="R10" s="61">
        <v>28.1</v>
      </c>
      <c r="S10" s="61">
        <f t="shared" si="5"/>
        <v>1.0003461306330863</v>
      </c>
      <c r="T10" s="61">
        <f>параметры!$B$18*ИБР!N10+параметры!$B$19*ИБР!P10+параметры!$B$21*ИБР!Q10+параметры!$B$20*ИБР!S10</f>
        <v>0.97580082969352111</v>
      </c>
      <c r="U10" s="61">
        <f t="shared" si="6"/>
        <v>0.93775183328723755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4104</v>
      </c>
      <c r="D11" s="75">
        <v>897</v>
      </c>
      <c r="E11" s="60">
        <v>897</v>
      </c>
      <c r="F11" s="76">
        <f t="shared" si="0"/>
        <v>0.2185672514619883</v>
      </c>
      <c r="G11" s="61">
        <f t="shared" si="1"/>
        <v>0.97779236688024618</v>
      </c>
      <c r="H11" s="124">
        <f>131.92+216.73</f>
        <v>348.65</v>
      </c>
      <c r="I11" s="124">
        <v>5474.43</v>
      </c>
      <c r="J11" s="124">
        <v>9691.0300000000007</v>
      </c>
      <c r="K11" s="61">
        <f t="shared" si="2"/>
        <v>1.1493697848140407</v>
      </c>
      <c r="L11" s="61">
        <f>параметры!$B$12*ИБР!G11+параметры!$B$13*ИБР!K11+1-параметры!$B$12-параметры!$B$13</f>
        <v>0.99789994055461406</v>
      </c>
      <c r="M11" s="60">
        <f t="shared" si="7"/>
        <v>0</v>
      </c>
      <c r="N11" s="61">
        <f t="shared" si="8"/>
        <v>0.74305555555555558</v>
      </c>
      <c r="O11" s="124">
        <v>109.68</v>
      </c>
      <c r="P11" s="61">
        <f t="shared" si="3"/>
        <v>0.89136434396794684</v>
      </c>
      <c r="Q11" s="61">
        <f t="shared" si="4"/>
        <v>1.1121815016560916</v>
      </c>
      <c r="R11" s="61">
        <v>60.5</v>
      </c>
      <c r="S11" s="61">
        <f t="shared" si="5"/>
        <v>1.2899529730591421</v>
      </c>
      <c r="T11" s="61">
        <f>параметры!$B$18*ИБР!N11+параметры!$B$19*ИБР!P11+параметры!$B$21*ИБР!Q11+параметры!$B$20*ИБР!S11</f>
        <v>1.0688678626797239</v>
      </c>
      <c r="U11" s="61">
        <f t="shared" si="6"/>
        <v>1.0595493311550708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2588</v>
      </c>
      <c r="D12" s="75">
        <v>2588</v>
      </c>
      <c r="E12" s="60">
        <v>139</v>
      </c>
      <c r="F12" s="76">
        <f>D12/C12</f>
        <v>1</v>
      </c>
      <c r="G12" s="61">
        <f t="shared" si="1"/>
        <v>1.1589152295028389</v>
      </c>
      <c r="H12" s="124">
        <f>104.87</f>
        <v>104.87</v>
      </c>
      <c r="I12" s="124">
        <v>7977.16</v>
      </c>
      <c r="J12" s="124">
        <v>9691.0300000000007</v>
      </c>
      <c r="K12" s="61">
        <f t="shared" si="2"/>
        <v>1.2278074814267157</v>
      </c>
      <c r="L12" s="61">
        <f>параметры!$B$12*ИБР!G12+параметры!$B$13*ИБР!K12+1-параметры!$B$12-параметры!$B$13</f>
        <v>1.0756043071326464</v>
      </c>
      <c r="M12" s="60">
        <f t="shared" si="7"/>
        <v>0</v>
      </c>
      <c r="N12" s="61">
        <f t="shared" si="8"/>
        <v>1.1783230293663061</v>
      </c>
      <c r="O12" s="124">
        <v>68.44</v>
      </c>
      <c r="P12" s="61">
        <f t="shared" si="3"/>
        <v>0.88202500388084992</v>
      </c>
      <c r="Q12" s="61">
        <f t="shared" si="4"/>
        <v>0.96171641957437948</v>
      </c>
      <c r="R12" s="61">
        <v>34.700000000000003</v>
      </c>
      <c r="S12" s="61">
        <f t="shared" si="5"/>
        <v>1.173251337704758</v>
      </c>
      <c r="T12" s="61">
        <f>параметры!$B$18*ИБР!N12+параметры!$B$19*ИБР!P12+параметры!$B$21*ИБР!Q12+параметры!$B$20*ИБР!S12</f>
        <v>1.0196073390670657</v>
      </c>
      <c r="U12" s="61">
        <f t="shared" si="6"/>
        <v>1.0894207699926108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2389</v>
      </c>
      <c r="D13" s="75">
        <v>2389</v>
      </c>
      <c r="E13" s="60">
        <v>875</v>
      </c>
      <c r="F13" s="76">
        <f t="shared" si="0"/>
        <v>1</v>
      </c>
      <c r="G13" s="61">
        <f t="shared" si="1"/>
        <v>1.1589152295028389</v>
      </c>
      <c r="H13" s="124">
        <f>173.56+95.46</f>
        <v>269.02</v>
      </c>
      <c r="I13" s="124">
        <v>3166.21</v>
      </c>
      <c r="J13" s="124">
        <v>9691.0300000000007</v>
      </c>
      <c r="K13" s="61">
        <f t="shared" si="2"/>
        <v>0.79123991652156211</v>
      </c>
      <c r="L13" s="61">
        <f>параметры!$B$12*ИБР!G13+параметры!$B$13*ИБР!K13+1-параметры!$B$12-параметры!$B$13</f>
        <v>1.0552093427827887</v>
      </c>
      <c r="M13" s="60">
        <f t="shared" si="7"/>
        <v>0</v>
      </c>
      <c r="N13" s="61">
        <f t="shared" si="8"/>
        <v>1.2764755127668481</v>
      </c>
      <c r="O13" s="124">
        <v>67.540000000000006</v>
      </c>
      <c r="P13" s="61">
        <f t="shared" si="3"/>
        <v>0.94293134858278849</v>
      </c>
      <c r="Q13" s="61">
        <f t="shared" si="4"/>
        <v>1.2469819447117778</v>
      </c>
      <c r="R13" s="61">
        <v>25.6</v>
      </c>
      <c r="S13" s="61">
        <f t="shared" si="5"/>
        <v>0.93766924323762713</v>
      </c>
      <c r="T13" s="61">
        <f>параметры!$B$18*ИБР!N13+параметры!$B$19*ИБР!P13+параметры!$B$21*ИБР!Q13+параметры!$B$20*ИБР!S13</f>
        <v>1.2166678772288144</v>
      </c>
      <c r="U13" s="61">
        <f t="shared" si="6"/>
        <v>1.2753248881225303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1243</v>
      </c>
      <c r="D14" s="75">
        <v>1243</v>
      </c>
      <c r="E14" s="60">
        <v>0</v>
      </c>
      <c r="F14" s="76">
        <f t="shared" si="0"/>
        <v>1</v>
      </c>
      <c r="G14" s="61">
        <f t="shared" si="1"/>
        <v>1.1589152295028389</v>
      </c>
      <c r="H14" s="124">
        <f>0+0</f>
        <v>0</v>
      </c>
      <c r="I14" s="124">
        <v>0</v>
      </c>
      <c r="J14" s="124">
        <v>9691.0300000000007</v>
      </c>
      <c r="K14" s="61">
        <f t="shared" si="2"/>
        <v>0.15000000000000002</v>
      </c>
      <c r="L14" s="61">
        <f>параметры!$B$12*ИБР!G14+параметры!$B$13*ИБР!K14+1-параметры!$B$12-параметры!$B$13</f>
        <v>1.0252527764034141</v>
      </c>
      <c r="M14" s="60">
        <f t="shared" si="7"/>
        <v>0</v>
      </c>
      <c r="N14" s="61">
        <f t="shared" si="8"/>
        <v>2.4533386967015285</v>
      </c>
      <c r="O14" s="124">
        <v>34.97</v>
      </c>
      <c r="P14" s="61">
        <f t="shared" si="3"/>
        <v>0.93833879344699778</v>
      </c>
      <c r="Q14" s="61">
        <f t="shared" si="4"/>
        <v>0.91269603735184968</v>
      </c>
      <c r="R14" s="61">
        <v>15.3</v>
      </c>
      <c r="S14" s="61">
        <f t="shared" si="5"/>
        <v>1.0770755253811588</v>
      </c>
      <c r="T14" s="61">
        <f>параметры!$B$18*ИБР!N14+параметры!$B$19*ИБР!P14+параметры!$B$21*ИБР!Q14+параметры!$B$20*ИБР!S14</f>
        <v>1.1847009438606655</v>
      </c>
      <c r="U14" s="61">
        <f t="shared" si="6"/>
        <v>1.206562585131582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508</v>
      </c>
      <c r="D15" s="75">
        <v>508</v>
      </c>
      <c r="E15" s="60">
        <v>508</v>
      </c>
      <c r="F15" s="76">
        <f t="shared" si="0"/>
        <v>1</v>
      </c>
      <c r="G15" s="61">
        <f t="shared" si="1"/>
        <v>1.1589152295028389</v>
      </c>
      <c r="H15" s="124">
        <f>62.67+0</f>
        <v>62.67</v>
      </c>
      <c r="I15" s="124">
        <v>13377.92</v>
      </c>
      <c r="J15" s="124">
        <v>9691.0300000000007</v>
      </c>
      <c r="K15" s="61">
        <f t="shared" si="2"/>
        <v>1.8512568312146755</v>
      </c>
      <c r="L15" s="61">
        <f>параметры!$B$12*ИБР!G15+параметры!$B$13*ИБР!K15+1-параметры!$B$12-параметры!$B$13</f>
        <v>1.1047297582312179</v>
      </c>
      <c r="M15" s="60">
        <f t="shared" si="7"/>
        <v>0</v>
      </c>
      <c r="N15" s="61">
        <f t="shared" si="8"/>
        <v>6.002952755905512</v>
      </c>
      <c r="O15" s="124">
        <v>15.18</v>
      </c>
      <c r="P15" s="61">
        <f t="shared" si="3"/>
        <v>0.99665127620441285</v>
      </c>
      <c r="Q15" s="61">
        <f t="shared" si="4"/>
        <v>1.8253920747036994</v>
      </c>
      <c r="R15" s="61">
        <v>5.7</v>
      </c>
      <c r="S15" s="61">
        <f t="shared" si="5"/>
        <v>0.98183158417966754</v>
      </c>
      <c r="T15" s="61">
        <f>параметры!$B$18*ИБР!N15+параметры!$B$19*ИБР!P15+параметры!$B$21*ИБР!Q15+параметры!$B$20*ИБР!S15</f>
        <v>2.4187617370461454</v>
      </c>
      <c r="U15" s="61">
        <f t="shared" si="6"/>
        <v>2.6543568458135613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1932</v>
      </c>
      <c r="D16" s="75">
        <v>1932</v>
      </c>
      <c r="E16" s="60">
        <v>468</v>
      </c>
      <c r="F16" s="76">
        <f t="shared" si="0"/>
        <v>1</v>
      </c>
      <c r="G16" s="61">
        <f t="shared" si="1"/>
        <v>1.1589152295028389</v>
      </c>
      <c r="H16" s="124">
        <f>63.38</f>
        <v>63.38</v>
      </c>
      <c r="I16" s="124">
        <v>5452.23</v>
      </c>
      <c r="J16" s="124">
        <v>9691.0300000000007</v>
      </c>
      <c r="K16" s="61">
        <f t="shared" si="2"/>
        <v>0.8788722916494377</v>
      </c>
      <c r="L16" s="61">
        <f>параметры!$B$12*ИБР!G16+параметры!$B$13*ИБР!K16+1-параметры!$B$12-параметры!$B$13</f>
        <v>1.0593032318169284</v>
      </c>
      <c r="M16" s="60">
        <f t="shared" si="7"/>
        <v>0</v>
      </c>
      <c r="N16" s="61">
        <f t="shared" si="8"/>
        <v>1.5784161490683231</v>
      </c>
      <c r="O16" s="124">
        <v>63.66</v>
      </c>
      <c r="P16" s="61">
        <f t="shared" si="3"/>
        <v>1.098992377308456</v>
      </c>
      <c r="Q16" s="61">
        <f t="shared" si="4"/>
        <v>1.1337838973314904</v>
      </c>
      <c r="R16" s="61">
        <v>34.1</v>
      </c>
      <c r="S16" s="61">
        <f t="shared" si="5"/>
        <v>1.544447365372448</v>
      </c>
      <c r="T16" s="61">
        <f>параметры!$B$18*ИБР!N16+параметры!$B$19*ИБР!P16+параметры!$B$21*ИБР!Q16+параметры!$B$20*ИБР!S16</f>
        <v>1.2509469126135446</v>
      </c>
      <c r="U16" s="61">
        <f t="shared" si="6"/>
        <v>1.3163438305232804</v>
      </c>
    </row>
    <row r="17" spans="1:21" ht="26.25" x14ac:dyDescent="0.4">
      <c r="A17" s="16"/>
      <c r="B17" s="8" t="s">
        <v>11</v>
      </c>
      <c r="C17" s="77">
        <f>C7+C8+C9+C10+C11+C12+C13+C14+C15+C16</f>
        <v>30495</v>
      </c>
      <c r="D17" s="77">
        <f>D7+D8+D9+D10+D11+D12+D13+D14+D15+D16</f>
        <v>9587</v>
      </c>
      <c r="E17" s="77">
        <f>E7+E8+E9+E10+E11+E12+E13+E14+E15+E16</f>
        <v>2917</v>
      </c>
      <c r="F17" s="78">
        <f>D17/C17</f>
        <v>0.31437940646007539</v>
      </c>
      <c r="G17" s="59">
        <f t="shared" si="1"/>
        <v>1</v>
      </c>
      <c r="H17" s="122">
        <f>(C7*H7+C8*H8+C9*H9+C10*H10+C11*H11+C12*H12+C13*H13+C14*H14+C15*H15+C16*H16)/C17</f>
        <v>213.06935956714216</v>
      </c>
      <c r="I17" s="122">
        <f>(C7*I7+C8*I8+C9*I9+C10*I10+C11*I11+C12*I12+C13*I13+C14*I14+C15*I15+C16*I16)/C17</f>
        <v>5294.3767151992133</v>
      </c>
      <c r="J17" s="122">
        <f>(C7*J7+C8*J8+C9*J9+C10*J10+C11*J11+C12*J12+C13*J13+C14*J14+C15*J15+C16*J16)/C17</f>
        <v>9691.0300000000007</v>
      </c>
      <c r="K17" s="59">
        <f>0.2*H17/$H$17+0.65*I17/$I$17+0.15*J17/$J$17</f>
        <v>1</v>
      </c>
      <c r="L17" s="61">
        <f>параметры!$B$12*ИБР!G17+параметры!$B$13*ИБР!K17+1-параметры!$B$12-параметры!$B$13</f>
        <v>1</v>
      </c>
      <c r="M17" s="60"/>
      <c r="N17" s="61"/>
      <c r="O17" s="123">
        <f>O7+O8+O9+O10+O11+O12+O13+O14+O15+O16</f>
        <v>914.31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x14ac:dyDescent="0.3">
      <c r="B18" s="17"/>
    </row>
    <row r="19" spans="1:21" s="7" customFormat="1" ht="17.25" customHeight="1" x14ac:dyDescent="0.25">
      <c r="A19" s="168" t="s">
        <v>64</v>
      </c>
      <c r="B19" s="168"/>
      <c r="C19" s="168"/>
      <c r="D19" s="168"/>
    </row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</sheetData>
  <customSheetViews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3"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  <mergeCell ref="A19:D19"/>
    <mergeCell ref="S5:S6"/>
    <mergeCell ref="B5:B6"/>
    <mergeCell ref="A5:A6"/>
    <mergeCell ref="D5:D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3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83" t="s">
        <v>63</v>
      </c>
      <c r="B2" s="183"/>
      <c r="C2" s="183"/>
      <c r="D2" s="183"/>
      <c r="E2" s="179"/>
      <c r="F2" s="179"/>
      <c r="G2" s="179"/>
      <c r="H2" s="179"/>
      <c r="I2" s="179"/>
    </row>
    <row r="3" spans="1:44" x14ac:dyDescent="0.2">
      <c r="A3" s="183"/>
      <c r="B3" s="183"/>
      <c r="C3" s="183"/>
      <c r="D3" s="183"/>
      <c r="E3" s="179"/>
      <c r="F3" s="179"/>
      <c r="G3" s="179"/>
      <c r="H3" s="179"/>
      <c r="I3" s="179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84" t="s">
        <v>0</v>
      </c>
      <c r="B7" s="184" t="s">
        <v>14</v>
      </c>
      <c r="C7" s="184" t="s">
        <v>62</v>
      </c>
      <c r="D7" s="186" t="s">
        <v>60</v>
      </c>
      <c r="E7" s="187" t="s">
        <v>28</v>
      </c>
      <c r="F7" s="187" t="s">
        <v>29</v>
      </c>
      <c r="G7" s="188" t="s">
        <v>41</v>
      </c>
      <c r="H7" s="187" t="s">
        <v>57</v>
      </c>
      <c r="I7" s="187" t="s">
        <v>58</v>
      </c>
      <c r="S7" s="40"/>
      <c r="U7" s="40"/>
    </row>
    <row r="8" spans="1:44" s="12" customFormat="1" ht="150" customHeight="1" x14ac:dyDescent="0.25">
      <c r="A8" s="185"/>
      <c r="B8" s="185"/>
      <c r="C8" s="185"/>
      <c r="D8" s="186"/>
      <c r="E8" s="187"/>
      <c r="F8" s="187"/>
      <c r="G8" s="188"/>
      <c r="H8" s="187"/>
      <c r="I8" s="187"/>
      <c r="J8" s="24"/>
      <c r="K8" s="52" t="s">
        <v>65</v>
      </c>
      <c r="L8" s="52" t="s">
        <v>59</v>
      </c>
      <c r="M8" s="67">
        <v>0.8</v>
      </c>
      <c r="N8" s="36" t="s">
        <v>54</v>
      </c>
      <c r="O8" s="68" t="s">
        <v>53</v>
      </c>
      <c r="P8" s="35" t="s">
        <v>54</v>
      </c>
      <c r="Q8" s="68" t="s">
        <v>52</v>
      </c>
      <c r="R8" s="34" t="s">
        <v>54</v>
      </c>
      <c r="S8" s="69">
        <v>0.5</v>
      </c>
      <c r="T8" s="37" t="s">
        <v>54</v>
      </c>
      <c r="U8" s="70">
        <v>0.4</v>
      </c>
      <c r="V8" s="37" t="s">
        <v>54</v>
      </c>
      <c r="W8" s="73">
        <v>0.3</v>
      </c>
      <c r="X8" s="37" t="s">
        <v>54</v>
      </c>
      <c r="Y8" s="39">
        <v>0.2</v>
      </c>
      <c r="Z8" s="37" t="s">
        <v>54</v>
      </c>
      <c r="AA8" s="39">
        <v>0.1</v>
      </c>
      <c r="AB8" s="37" t="s">
        <v>54</v>
      </c>
      <c r="AC8" s="39">
        <v>0.01</v>
      </c>
      <c r="AD8" s="37"/>
      <c r="AE8" s="55">
        <v>1E-3</v>
      </c>
      <c r="AF8" s="44"/>
      <c r="AG8" s="12">
        <v>0</v>
      </c>
      <c r="AI8" s="12" t="s">
        <v>55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11079</v>
      </c>
      <c r="D9" s="83">
        <v>66081.740000000005</v>
      </c>
      <c r="E9" s="61">
        <f>($D$19+параметры!$B$9)/'2 часть дотации (реальные пок2)'!$D$19</f>
        <v>2.3526177249830122</v>
      </c>
      <c r="F9" s="61">
        <f>ИНП!N10/ИБР!U7</f>
        <v>1.7482820194191542</v>
      </c>
      <c r="G9" s="79">
        <f>($D$19/$C$19)*(E9-F9)*ИБР!U7*'2 часть дотации (реальные пок2)'!C9</f>
        <v>27738.245564706533</v>
      </c>
      <c r="H9" s="79">
        <f>параметры!$B$9*'2 часть дотации (реальные пок2)'!G9/SUM($G$9:$G$18)</f>
        <v>27738.245564706529</v>
      </c>
      <c r="I9" s="79">
        <f>'1 часть дотации'!D7+'2 часть дотации (реальные пок2)'!H9</f>
        <v>53235.567699482723</v>
      </c>
      <c r="K9" s="53">
        <v>49835.543382186741</v>
      </c>
      <c r="L9" s="53">
        <f>I9-K9</f>
        <v>3400.0243172959817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2637</v>
      </c>
      <c r="D10" s="83">
        <v>15107.65</v>
      </c>
      <c r="E10" s="61">
        <f>($D$19+параметры!$B$9)/'2 часть дотации (реальные пок2)'!$D$19</f>
        <v>2.3526177249830122</v>
      </c>
      <c r="F10" s="61">
        <f>ИНП!N11/ИБР!U8</f>
        <v>0.8449406360430568</v>
      </c>
      <c r="G10" s="79">
        <f>($D$19/$C$19)*(E10-F10)*ИБР!U8*'2 часть дотации (реальные пок2)'!C10</f>
        <v>21042.426467820202</v>
      </c>
      <c r="H10" s="79">
        <f>параметры!$B$9*'2 часть дотации (реальные пок2)'!G10/SUM($G$9:$G$18)</f>
        <v>21042.426467820198</v>
      </c>
      <c r="I10" s="79">
        <f>'1 часть дотации'!D8+'2 часть дотации (реальные пок2)'!H10</f>
        <v>27111.244815090242</v>
      </c>
      <c r="K10" s="53">
        <v>28783.999554122045</v>
      </c>
      <c r="L10" s="53">
        <f t="shared" ref="L10:L18" si="5">I10-K10</f>
        <v>-1672.7547390318032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1557</v>
      </c>
      <c r="D11" s="83">
        <v>6804.01</v>
      </c>
      <c r="E11" s="61">
        <f>($D$19+параметры!$B$9)/'2 часть дотации (реальные пок2)'!$D$19</f>
        <v>2.3526177249830122</v>
      </c>
      <c r="F11" s="61">
        <f>ИНП!N12/ИБР!U9</f>
        <v>0.62469356776972707</v>
      </c>
      <c r="G11" s="79">
        <f>($D$19/$C$19)*(E11-F11)*ИБР!U9*'2 часть дотации (реальные пок2)'!C11</f>
        <v>16182.147285541729</v>
      </c>
      <c r="H11" s="79">
        <f>параметры!$B$9*'2 часть дотации (реальные пок2)'!G11/SUM($G$9:$G$18)</f>
        <v>16182.147285541727</v>
      </c>
      <c r="I11" s="79">
        <f>'1 часть дотации'!D9+'2 часть дотации (реальные пок2)'!H11</f>
        <v>19765.442760209706</v>
      </c>
      <c r="K11" s="53">
        <v>16743.545312696348</v>
      </c>
      <c r="L11" s="53">
        <f t="shared" si="5"/>
        <v>3021.8974475133582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2458</v>
      </c>
      <c r="D12" s="83">
        <v>10756.28</v>
      </c>
      <c r="E12" s="61">
        <f>($D$19+параметры!$B$9)/'2 часть дотации (реальные пок2)'!$D$19</f>
        <v>2.3526177249830122</v>
      </c>
      <c r="F12" s="61">
        <f>ИНП!N13/ИБР!U10</f>
        <v>0.62142530413643127</v>
      </c>
      <c r="G12" s="79">
        <f>($D$19/$C$19)*(E12-F12)*ИБР!U10*'2 часть дотации (реальные пок2)'!C12</f>
        <v>21949.715283077672</v>
      </c>
      <c r="H12" s="79">
        <f>параметры!$B$9*'2 часть дотации (реальные пок2)'!G12/SUM($G$9:$G$18)</f>
        <v>21949.715283077672</v>
      </c>
      <c r="I12" s="79">
        <f>'1 часть дотации'!D10+'2 часть дотации (реальные пок2)'!H12</f>
        <v>27606.581228314597</v>
      </c>
      <c r="K12" s="53">
        <v>26466.729445592799</v>
      </c>
      <c r="L12" s="53">
        <f t="shared" si="5"/>
        <v>1139.8517827217984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4104</v>
      </c>
      <c r="D13" s="83">
        <v>20493.25</v>
      </c>
      <c r="E13" s="61">
        <f>($D$19+параметры!$B$9)/'2 часть дотации (реальные пок2)'!$D$19</f>
        <v>2.3526177249830122</v>
      </c>
      <c r="F13" s="61">
        <f>ИНП!N14/ИБР!U11</f>
        <v>0.49408574571852037</v>
      </c>
      <c r="G13" s="79">
        <f>($D$19/$C$19)*(E13-F13)*ИБР!U11*'2 часть дотации (реальные пок2)'!C13</f>
        <v>44454.151044343889</v>
      </c>
      <c r="H13" s="79">
        <f>параметры!$B$9*'2 часть дотации (реальные пок2)'!G13/SUM($G$9:$G$18)</f>
        <v>44454.151044343882</v>
      </c>
      <c r="I13" s="79">
        <f>'1 часть дотации'!D11+'2 часть дотации (реальные пок2)'!H13</f>
        <v>53899.137960231732</v>
      </c>
      <c r="K13" s="53">
        <v>53137.19754416353</v>
      </c>
      <c r="L13" s="53">
        <f t="shared" si="5"/>
        <v>761.94041606820247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2588</v>
      </c>
      <c r="D14" s="83">
        <v>12052.04</v>
      </c>
      <c r="E14" s="61">
        <f>($D$19+параметры!$B$9)/'2 часть дотации (реальные пок2)'!$D$19</f>
        <v>2.3526177249830122</v>
      </c>
      <c r="F14" s="61">
        <f>ИНП!N15/ИБР!U12</f>
        <v>0.54842912353679729</v>
      </c>
      <c r="G14" s="79">
        <f>($D$19/$C$19)*(E14-F14)*ИБР!U12*'2 часть дотации (реальные пок2)'!C14</f>
        <v>27980.508726948952</v>
      </c>
      <c r="H14" s="79">
        <f>параметры!$B$9*'2 часть дотации (реальные пок2)'!G14/SUM($G$9:$G$18)</f>
        <v>27980.508726948949</v>
      </c>
      <c r="I14" s="79">
        <f>'1 часть дотации'!D12+'2 часть дотации (реальные пок2)'!H14</f>
        <v>33936.557980925012</v>
      </c>
      <c r="K14" s="53">
        <v>29067.646063111108</v>
      </c>
      <c r="L14" s="53">
        <f t="shared" si="5"/>
        <v>4868.9119178139044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2389</v>
      </c>
      <c r="D15" s="83">
        <v>8578.7000000000007</v>
      </c>
      <c r="E15" s="61">
        <f>($D$19+параметры!$B$9)/'2 часть дотации (реальные пок2)'!$D$19</f>
        <v>2.3526177249830122</v>
      </c>
      <c r="F15" s="61">
        <f>ИНП!N16/ИБР!U13</f>
        <v>0.50902956492830709</v>
      </c>
      <c r="G15" s="79">
        <f>($D$19/$C$19)*(E15-F15)*ИБР!U13*'2 часть дотации (реальные пок2)'!C15</f>
        <v>30896.881264312669</v>
      </c>
      <c r="H15" s="79">
        <f>параметры!$B$9*'2 часть дотации (реальные пок2)'!G15/SUM($G$9:$G$18)</f>
        <v>30896.881264312666</v>
      </c>
      <c r="I15" s="79">
        <f>'1 часть дотации'!D13+'2 часть дотации (реальные пок2)'!H15</f>
        <v>36394.949914911122</v>
      </c>
      <c r="K15" s="53">
        <v>32388.606792617014</v>
      </c>
      <c r="L15" s="53">
        <f t="shared" si="5"/>
        <v>4006.3431222941072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1243</v>
      </c>
      <c r="D16" s="83">
        <v>8004.47</v>
      </c>
      <c r="E16" s="61">
        <f>($D$19+параметры!$B$9)/'2 часть дотации (реальные пок2)'!$D$19</f>
        <v>2.3526177249830122</v>
      </c>
      <c r="F16" s="61">
        <f>ИНП!N17/ИБР!U14</f>
        <v>1.2249970647328841</v>
      </c>
      <c r="G16" s="79">
        <f>($D$19/$C$19)*(E16-F16)*ИБР!U14*'2 часть дотации (реальные пок2)'!C16</f>
        <v>9302.4588107018189</v>
      </c>
      <c r="H16" s="79">
        <f>параметры!$B$9*'2 часть дотации (реальные пок2)'!G16/SUM($G$9:$G$18)</f>
        <v>9302.4588107018171</v>
      </c>
      <c r="I16" s="79">
        <f>'1 часть дотации'!D14+'2 часть дотации (реальные пок2)'!H16</f>
        <v>12163.111524261418</v>
      </c>
      <c r="K16" s="53">
        <v>18222.117324925173</v>
      </c>
      <c r="L16" s="53">
        <f t="shared" si="5"/>
        <v>-6059.0058006637555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508</v>
      </c>
      <c r="D17" s="83">
        <v>2218.58</v>
      </c>
      <c r="E17" s="61">
        <f>($D$19+параметры!$B$9)/'2 часть дотации (реальные пок2)'!$D$19</f>
        <v>2.3526177249830122</v>
      </c>
      <c r="F17" s="61">
        <f>ИНП!N18/ИБР!U15</f>
        <v>0.27695931831035048</v>
      </c>
      <c r="G17" s="79">
        <f>($D$19/$C$19)*(E17-F17)*ИБР!U15*'2 часть дотации (реальные пок2)'!C17</f>
        <v>15395.459365912295</v>
      </c>
      <c r="H17" s="79">
        <f>параметры!$B$9*'2 часть дотации (реальные пок2)'!G17/SUM($G$9:$G$18)</f>
        <v>15395.459365912293</v>
      </c>
      <c r="I17" s="79">
        <f>'1 часть дотации'!D15+'2 часть дотации (реальные пок2)'!H17</f>
        <v>16564.575680062153</v>
      </c>
      <c r="K17" s="53">
        <v>12240.582424567943</v>
      </c>
      <c r="L17" s="53">
        <f t="shared" si="5"/>
        <v>4323.9932554942097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1932</v>
      </c>
      <c r="D18" s="83">
        <v>17645.5</v>
      </c>
      <c r="E18" s="61">
        <f>($D$19+параметры!$B$9)/'2 часть дотации (реальные пок2)'!$D$19</f>
        <v>2.3526177249830122</v>
      </c>
      <c r="F18" s="61">
        <f>ИНП!N19/ИБР!U16</f>
        <v>1.4984459681215516</v>
      </c>
      <c r="G18" s="79">
        <f>($D$19/$C$19)*(E18-F18)*ИБР!U16*'2 часть дотации (реальные пок2)'!C18</f>
        <v>11949.106186634252</v>
      </c>
      <c r="H18" s="79">
        <f>параметры!$B$9*'2 часть дотации (реальные пок2)'!G18/SUM($G$9:$G$18)</f>
        <v>11949.10618663425</v>
      </c>
      <c r="I18" s="79">
        <f>'1 часть дотации'!D16+'2 часть дотации (реальные пок2)'!H18</f>
        <v>16395.430436511277</v>
      </c>
      <c r="K18" s="53">
        <v>13472.232156017324</v>
      </c>
      <c r="L18" s="53">
        <f t="shared" si="5"/>
        <v>2923.1982804939526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30495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226891.1</v>
      </c>
      <c r="H19" s="80">
        <f>H9+H10+H11+H12+H13+H14+H15+H16+H17+H18</f>
        <v>226891.1</v>
      </c>
      <c r="I19" s="80">
        <f>SUM(I9:I18)</f>
        <v>297072.59999999998</v>
      </c>
      <c r="K19" s="54">
        <f>SUM(K9:K18)</f>
        <v>280358.2</v>
      </c>
      <c r="L19" s="54">
        <f>SUM(L9:L18)</f>
        <v>16714.399999999958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3620.4732856061164</v>
      </c>
    </row>
    <row r="24" spans="1:44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</row>
    <row r="25" spans="1:44" ht="39.75" customHeight="1" x14ac:dyDescent="0.2">
      <c r="A25" s="182"/>
      <c r="B25" s="182"/>
      <c r="C25" s="182"/>
      <c r="D25" s="182"/>
      <c r="E25" s="182"/>
      <c r="F25" s="182"/>
      <c r="G25" s="182"/>
      <c r="H25" s="182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5"/>
  <sheetViews>
    <sheetView topLeftCell="A2" zoomScale="73" zoomScaleNormal="70" workbookViewId="0">
      <selection activeCell="F7" sqref="F7:F8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3.7109375" style="1" customWidth="1"/>
    <col min="4" max="6" width="28.7109375" style="1" customWidth="1"/>
    <col min="7" max="7" width="27.85546875" style="1" customWidth="1"/>
    <col min="8" max="8" width="37" style="1" customWidth="1"/>
    <col min="9" max="9" width="33.5703125" style="1" customWidth="1"/>
    <col min="10" max="10" width="28.28515625" style="1" customWidth="1"/>
    <col min="11" max="16384" width="9.140625" style="1"/>
  </cols>
  <sheetData>
    <row r="2" spans="1:13" ht="31.5" customHeight="1" x14ac:dyDescent="0.2">
      <c r="A2" s="183" t="s">
        <v>93</v>
      </c>
      <c r="B2" s="183"/>
      <c r="C2" s="183"/>
      <c r="D2" s="183"/>
      <c r="E2" s="179"/>
      <c r="F2" s="179"/>
      <c r="G2" s="179"/>
      <c r="H2" s="179"/>
      <c r="I2" s="179"/>
      <c r="J2" s="179"/>
    </row>
    <row r="3" spans="1:13" x14ac:dyDescent="0.2">
      <c r="A3" s="183"/>
      <c r="B3" s="183"/>
      <c r="C3" s="183"/>
      <c r="D3" s="183"/>
      <c r="E3" s="179"/>
      <c r="F3" s="179"/>
      <c r="G3" s="179"/>
      <c r="H3" s="179"/>
      <c r="I3" s="179"/>
      <c r="J3" s="179"/>
    </row>
    <row r="4" spans="1:13" ht="18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8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3" ht="18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3" s="12" customFormat="1" ht="132.75" customHeight="1" x14ac:dyDescent="0.25">
      <c r="A7" s="184" t="s">
        <v>0</v>
      </c>
      <c r="B7" s="184" t="s">
        <v>14</v>
      </c>
      <c r="C7" s="184" t="s">
        <v>80</v>
      </c>
      <c r="D7" s="186" t="s">
        <v>94</v>
      </c>
      <c r="E7" s="187" t="s">
        <v>28</v>
      </c>
      <c r="F7" s="184" t="s">
        <v>97</v>
      </c>
      <c r="G7" s="187" t="s">
        <v>29</v>
      </c>
      <c r="H7" s="188" t="s">
        <v>41</v>
      </c>
      <c r="I7" s="187" t="s">
        <v>95</v>
      </c>
      <c r="J7" s="187" t="s">
        <v>96</v>
      </c>
    </row>
    <row r="8" spans="1:13" s="12" customFormat="1" ht="87.75" customHeight="1" x14ac:dyDescent="0.25">
      <c r="A8" s="185"/>
      <c r="B8" s="185"/>
      <c r="C8" s="185"/>
      <c r="D8" s="186"/>
      <c r="E8" s="187"/>
      <c r="F8" s="185"/>
      <c r="G8" s="187"/>
      <c r="H8" s="188"/>
      <c r="I8" s="187"/>
      <c r="J8" s="187"/>
      <c r="K8" s="24"/>
    </row>
    <row r="9" spans="1:13" ht="25.5" x14ac:dyDescent="0.35">
      <c r="A9" s="31">
        <v>1</v>
      </c>
      <c r="B9" s="31" t="s">
        <v>1</v>
      </c>
      <c r="C9" s="75">
        <f>'1 часть дотации'!C7</f>
        <v>11079</v>
      </c>
      <c r="D9" s="79">
        <v>72690.8</v>
      </c>
      <c r="E9" s="61">
        <f>($D$19+параметры!$B$9)/'2 часть дотации'!$D$19</f>
        <v>2.2322010831195405</v>
      </c>
      <c r="F9" s="61">
        <f>E9+J9/(($D$19/$C$19)*ИБР!U7*'2 часть дотации'!C9)</f>
        <v>3.2221782093214748</v>
      </c>
      <c r="G9" s="61">
        <f>ИНП!N10/ИБР!U7</f>
        <v>1.7482820194191542</v>
      </c>
      <c r="H9" s="79">
        <f>($D$19/$C$19)*(E9-G9)*ИБР!U7*'2 часть дотации'!C9</f>
        <v>24381.866763144953</v>
      </c>
      <c r="I9" s="79">
        <f>параметры!$B$9*'2 часть дотации'!H9/SUM($H$9:$H$18)</f>
        <v>24381.866763144946</v>
      </c>
      <c r="J9" s="79">
        <f>'1 часть дотации'!D7+'2 часть дотации'!I9</f>
        <v>49879.188897921136</v>
      </c>
      <c r="L9" s="38"/>
      <c r="M9" s="38"/>
    </row>
    <row r="10" spans="1:13" ht="25.5" x14ac:dyDescent="0.35">
      <c r="A10" s="31">
        <v>2</v>
      </c>
      <c r="B10" s="31" t="s">
        <v>2</v>
      </c>
      <c r="C10" s="75">
        <f>'1 часть дотации'!C8</f>
        <v>2637</v>
      </c>
      <c r="D10" s="79">
        <v>14868.7</v>
      </c>
      <c r="E10" s="61">
        <f>($D$19+параметры!$B$9)/'2 часть дотации'!$D$19</f>
        <v>2.2322010831195405</v>
      </c>
      <c r="F10" s="61">
        <f>E10+J10/(($D$19/$C$19)*ИБР!U8*'2 часть дотации'!C10)</f>
        <v>4.0155782438651766</v>
      </c>
      <c r="G10" s="61">
        <f>ИНП!N11/ИБР!U8</f>
        <v>0.8449406360430568</v>
      </c>
      <c r="H10" s="79">
        <f>($D$19/$C$19)*(E10-G10)*ИБР!U8*'2 часть дотации'!C10</f>
        <v>21253.916745082344</v>
      </c>
      <c r="I10" s="79">
        <f>параметры!$B$9*'2 часть дотации'!H10/SUM($H$9:$H$18)</f>
        <v>21253.916745082337</v>
      </c>
      <c r="J10" s="79">
        <f>'1 часть дотации'!D8+'2 часть дотации'!I10</f>
        <v>27322.735092352381</v>
      </c>
      <c r="L10" s="38"/>
      <c r="M10" s="38"/>
    </row>
    <row r="11" spans="1:13" ht="25.5" x14ac:dyDescent="0.35">
      <c r="A11" s="31">
        <v>3</v>
      </c>
      <c r="B11" s="31" t="s">
        <v>3</v>
      </c>
      <c r="C11" s="75">
        <f>'1 часть дотации'!C9</f>
        <v>1557</v>
      </c>
      <c r="D11" s="79">
        <v>8667.7999999999993</v>
      </c>
      <c r="E11" s="61">
        <f>($D$19+параметры!$B$9)/'2 часть дотации'!$D$19</f>
        <v>2.2322010831195405</v>
      </c>
      <c r="F11" s="61">
        <f>E11+J11/(($D$19/$C$19)*ИБР!U9*'2 часть дотации'!C11)</f>
        <v>4.1882686890016485</v>
      </c>
      <c r="G11" s="61">
        <f>ИНП!N12/ИБР!U9</f>
        <v>0.62469356776972707</v>
      </c>
      <c r="H11" s="79">
        <f>($D$19/$C$19)*(E11-G11)*ИБР!U9*'2 часть дотации'!C11</f>
        <v>16525.628038629569</v>
      </c>
      <c r="I11" s="79">
        <f>параметры!$B$9*'2 часть дотации'!H11/SUM($H$9:$H$18)</f>
        <v>16525.628038629562</v>
      </c>
      <c r="J11" s="79">
        <f>'1 часть дотации'!D9+'2 часть дотации'!I11</f>
        <v>20108.923513297541</v>
      </c>
      <c r="L11" s="38"/>
      <c r="M11" s="38"/>
    </row>
    <row r="12" spans="1:13" ht="25.5" x14ac:dyDescent="0.35">
      <c r="A12" s="31">
        <v>4</v>
      </c>
      <c r="B12" s="31" t="s">
        <v>4</v>
      </c>
      <c r="C12" s="75">
        <f>'1 часть дотации'!C10</f>
        <v>2458</v>
      </c>
      <c r="D12" s="79">
        <v>10902</v>
      </c>
      <c r="E12" s="61">
        <f>($D$19+параметры!$B$9)/'2 часть дотации'!$D$19</f>
        <v>2.2322010831195405</v>
      </c>
      <c r="F12" s="61">
        <f>E12+J12/(($D$19/$C$19)*ИБР!U10*'2 часть дотации'!C12)</f>
        <v>4.2494191149492924</v>
      </c>
      <c r="G12" s="61">
        <f>ИНП!N13/ИБР!U10</f>
        <v>0.62142530413643127</v>
      </c>
      <c r="H12" s="79">
        <f>($D$19/$C$19)*(E12-G12)*ИБР!U10*'2 часть дотации'!C12</f>
        <v>22418.787873858397</v>
      </c>
      <c r="I12" s="79">
        <f>параметры!$B$9*'2 часть дотации'!H12/SUM($H$9:$H$18)</f>
        <v>22418.787873858386</v>
      </c>
      <c r="J12" s="79">
        <f>'1 часть дотации'!D10+'2 часть дотации'!I12</f>
        <v>28075.653819095311</v>
      </c>
      <c r="L12" s="38"/>
      <c r="M12" s="38"/>
    </row>
    <row r="13" spans="1:13" ht="25.5" x14ac:dyDescent="0.35">
      <c r="A13" s="31">
        <v>5</v>
      </c>
      <c r="B13" s="31" t="s">
        <v>5</v>
      </c>
      <c r="C13" s="75">
        <f>'1 часть дотации'!C11</f>
        <v>4104</v>
      </c>
      <c r="D13" s="79">
        <v>21603.3</v>
      </c>
      <c r="E13" s="61">
        <f>($D$19+параметры!$B$9)/'2 часть дотации'!$D$19</f>
        <v>2.2322010831195405</v>
      </c>
      <c r="F13" s="61">
        <f>E13+J13/(($D$19/$C$19)*ИБР!U11*'2 часть дотации'!C13)</f>
        <v>4.3300372532606763</v>
      </c>
      <c r="G13" s="61">
        <f>ИНП!N14/ИБР!U11</f>
        <v>0.49408574571852037</v>
      </c>
      <c r="H13" s="79">
        <f>($D$19/$C$19)*(E13-G13)*ИБР!U11*'2 часть дотации'!C13</f>
        <v>45636.713600951975</v>
      </c>
      <c r="I13" s="79">
        <f>параметры!$B$9*'2 часть дотации'!H13/SUM($H$9:$H$18)</f>
        <v>45636.713600951953</v>
      </c>
      <c r="J13" s="79">
        <f>'1 часть дотации'!D11+'2 часть дотации'!I13</f>
        <v>55081.700516839803</v>
      </c>
      <c r="L13" s="38"/>
      <c r="M13" s="38"/>
    </row>
    <row r="14" spans="1:13" ht="25.5" x14ac:dyDescent="0.35">
      <c r="A14" s="31">
        <v>6</v>
      </c>
      <c r="B14" s="31" t="s">
        <v>6</v>
      </c>
      <c r="C14" s="75">
        <f>'1 часть дотации'!C12</f>
        <v>2588</v>
      </c>
      <c r="D14" s="79">
        <v>12841.8</v>
      </c>
      <c r="E14" s="61">
        <f>($D$19+параметры!$B$9)/'2 часть дотации'!$D$19</f>
        <v>2.2322010831195405</v>
      </c>
      <c r="F14" s="61">
        <f>E14+J14/(($D$19/$C$19)*ИБР!U12*'2 часть дотации'!C14)</f>
        <v>4.265830488264772</v>
      </c>
      <c r="G14" s="61">
        <f>ИНП!N15/ИБР!U12</f>
        <v>0.54842912353679729</v>
      </c>
      <c r="H14" s="79">
        <f>($D$19/$C$19)*(E14-G14)*ИБР!U12*'2 часть дотации'!C14</f>
        <v>28664.900092707485</v>
      </c>
      <c r="I14" s="79">
        <f>параметры!$B$9*'2 часть дотации'!H14/SUM($H$9:$H$18)</f>
        <v>28664.900092707474</v>
      </c>
      <c r="J14" s="79">
        <f>'1 часть дотации'!D12+'2 часть дотации'!I14</f>
        <v>34620.949346683534</v>
      </c>
      <c r="L14" s="38"/>
      <c r="M14" s="38"/>
    </row>
    <row r="15" spans="1:13" ht="25.5" x14ac:dyDescent="0.35">
      <c r="A15" s="31">
        <v>7</v>
      </c>
      <c r="B15" s="31" t="s">
        <v>7</v>
      </c>
      <c r="C15" s="75">
        <f>'1 часть дотации'!C13</f>
        <v>2389</v>
      </c>
      <c r="D15" s="79">
        <v>10395.1</v>
      </c>
      <c r="E15" s="61">
        <f>($D$19+параметры!$B$9)/'2 часть дотации'!$D$19</f>
        <v>2.2322010831195405</v>
      </c>
      <c r="F15" s="61">
        <f>E15+J15/(($D$19/$C$19)*ИБР!U13*'2 часть дотации'!C15)</f>
        <v>4.2542313245130101</v>
      </c>
      <c r="G15" s="61">
        <f>ИНП!N16/ИБР!U13</f>
        <v>0.50902956492830709</v>
      </c>
      <c r="H15" s="79">
        <f>($D$19/$C$19)*(E15-G15)*ИБР!U13*'2 часть дотации'!C15</f>
        <v>31700.983000453554</v>
      </c>
      <c r="I15" s="79">
        <f>параметры!$B$9*'2 часть дотации'!H15/SUM($H$9:$H$18)</f>
        <v>31700.983000453543</v>
      </c>
      <c r="J15" s="79">
        <f>'1 часть дотации'!D13+'2 часть дотации'!I15</f>
        <v>37199.051651052003</v>
      </c>
      <c r="L15" s="38"/>
      <c r="M15" s="38"/>
    </row>
    <row r="16" spans="1:13" ht="25.5" x14ac:dyDescent="0.35">
      <c r="A16" s="31">
        <v>8</v>
      </c>
      <c r="B16" s="31" t="s">
        <v>8</v>
      </c>
      <c r="C16" s="75">
        <f>'1 часть дотации'!C14</f>
        <v>1243</v>
      </c>
      <c r="D16" s="79">
        <v>8454</v>
      </c>
      <c r="E16" s="61">
        <f>($D$19+параметры!$B$9)/'2 часть дотации'!$D$19</f>
        <v>2.2322010831195405</v>
      </c>
      <c r="F16" s="61">
        <f>E16+J16/(($D$19/$C$19)*ИБР!U14*'2 часть дотации'!C16)</f>
        <v>3.5552958579651905</v>
      </c>
      <c r="G16" s="61">
        <f>ИНП!N17/ИБР!U14</f>
        <v>1.2249970647328841</v>
      </c>
      <c r="H16" s="79">
        <f>($D$19/$C$19)*(E16-G16)*ИБР!U14*'2 часть дотации'!C16</f>
        <v>9121.0674873923926</v>
      </c>
      <c r="I16" s="79">
        <f>параметры!$B$9*'2 часть дотации'!H16/SUM($H$9:$H$18)</f>
        <v>9121.067487392389</v>
      </c>
      <c r="J16" s="79">
        <f>'1 часть дотации'!D14+'2 часть дотации'!I16</f>
        <v>11981.72020095199</v>
      </c>
      <c r="L16" s="38"/>
      <c r="M16" s="38"/>
    </row>
    <row r="17" spans="1:13" ht="25.5" x14ac:dyDescent="0.35">
      <c r="A17" s="31">
        <v>9</v>
      </c>
      <c r="B17" s="31" t="s">
        <v>9</v>
      </c>
      <c r="C17" s="75">
        <f>'1 часть дотации'!C15</f>
        <v>508</v>
      </c>
      <c r="D17" s="79">
        <v>2230.3000000000002</v>
      </c>
      <c r="E17" s="61">
        <f>($D$19+параметры!$B$9)/'2 часть дотации'!$D$19</f>
        <v>2.2322010831195405</v>
      </c>
      <c r="F17" s="61">
        <f>E17+J17/(($D$19/$C$19)*ИБР!U15*'2 часть дотации'!C17)</f>
        <v>4.3310339285076171</v>
      </c>
      <c r="G17" s="61">
        <f>ИНП!N18/ИБР!U15</f>
        <v>0.27695931831035048</v>
      </c>
      <c r="H17" s="79">
        <f>($D$19/$C$19)*(E17-G17)*ИБР!U15*'2 часть дотации'!C17</f>
        <v>15919.547621829788</v>
      </c>
      <c r="I17" s="79">
        <f>параметры!$B$9*'2 часть дотации'!H17/SUM($H$9:$H$18)</f>
        <v>15919.547621829783</v>
      </c>
      <c r="J17" s="79">
        <f>'1 часть дотации'!D15+'2 часть дотации'!I17</f>
        <v>17088.663935979643</v>
      </c>
      <c r="L17" s="38"/>
      <c r="M17" s="38"/>
    </row>
    <row r="18" spans="1:13" ht="25.5" x14ac:dyDescent="0.35">
      <c r="A18" s="31">
        <v>10</v>
      </c>
      <c r="B18" s="31" t="s">
        <v>10</v>
      </c>
      <c r="C18" s="75">
        <f>'1 часть дотации'!C16</f>
        <v>1932</v>
      </c>
      <c r="D18" s="79">
        <v>21481</v>
      </c>
      <c r="E18" s="61">
        <f>($D$19+параметры!$B$9)/'2 часть дотации'!$D$19</f>
        <v>2.2322010831195405</v>
      </c>
      <c r="F18" s="61">
        <f>E18+J18/(($D$19/$C$19)*ИБР!U16*'2 часть дотации'!C18)</f>
        <v>3.2555021046614305</v>
      </c>
      <c r="G18" s="61">
        <f>ИНП!N19/ИБР!U16</f>
        <v>1.4984459681215516</v>
      </c>
      <c r="H18" s="79">
        <f>($D$19/$C$19)*(E18-G18)*ИБР!U16*'2 часть дотации'!C18</f>
        <v>11267.688775949578</v>
      </c>
      <c r="I18" s="79">
        <f>параметры!$B$9*'2 часть дотации'!H18/SUM($H$9:$H$18)</f>
        <v>11267.688775949575</v>
      </c>
      <c r="J18" s="79">
        <f>'1 часть дотации'!D16+'2 часть дотации'!I18</f>
        <v>15714.013025826604</v>
      </c>
      <c r="L18" s="38"/>
      <c r="M18" s="38"/>
    </row>
    <row r="19" spans="1:13" s="23" customFormat="1" ht="26.25" x14ac:dyDescent="0.4">
      <c r="A19" s="32"/>
      <c r="B19" s="32" t="s">
        <v>11</v>
      </c>
      <c r="C19" s="77">
        <f>C9+C10+C11+C12+C13+C14+C15+C16+C17+C18</f>
        <v>30495</v>
      </c>
      <c r="D19" s="80">
        <f>D9+D10+D11+D12+D13+D14+D15+D16+D17+D18</f>
        <v>184134.8</v>
      </c>
      <c r="E19" s="59"/>
      <c r="F19" s="59"/>
      <c r="G19" s="61"/>
      <c r="H19" s="80">
        <f>H9+H10+H11+H12+H13+H14+H15+H16+H17+H18</f>
        <v>226891.10000000006</v>
      </c>
      <c r="I19" s="80">
        <f>I9+I10+I11+I12+I13+I14+I15+I16+I17+I18</f>
        <v>226891.09999999998</v>
      </c>
      <c r="J19" s="80">
        <f>SUM(J9:J18)</f>
        <v>297072.59999999992</v>
      </c>
      <c r="L19" s="41"/>
      <c r="M19" s="41"/>
    </row>
    <row r="20" spans="1:13" x14ac:dyDescent="0.2">
      <c r="A20" s="28"/>
      <c r="B20" s="28"/>
      <c r="C20" s="28"/>
      <c r="D20" s="33"/>
      <c r="E20" s="28"/>
      <c r="F20" s="28"/>
      <c r="G20" s="28"/>
      <c r="H20" s="28"/>
      <c r="I20" s="28"/>
      <c r="J20" s="28"/>
    </row>
    <row r="24" spans="1:13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  <c r="I24" s="182"/>
    </row>
    <row r="25" spans="1:13" ht="39.75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</row>
  </sheetData>
  <customSheetViews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2">
    <mergeCell ref="A24:I25"/>
    <mergeCell ref="E7:E8"/>
    <mergeCell ref="G7:G8"/>
    <mergeCell ref="H7:H8"/>
    <mergeCell ref="I7:I8"/>
    <mergeCell ref="F7:F8"/>
    <mergeCell ref="A2:J3"/>
    <mergeCell ref="J7:J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4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2023-10-24T05:40:56Z</cp:lastPrinted>
  <dcterms:created xsi:type="dcterms:W3CDTF">1996-10-08T23:32:33Z</dcterms:created>
  <dcterms:modified xsi:type="dcterms:W3CDTF">2023-12-28T06:27:23Z</dcterms:modified>
</cp:coreProperties>
</file>