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440" windowHeight="12660" tabRatio="328"/>
  </bookViews>
  <sheets>
    <sheet name="кду" sheetId="1" r:id="rId1"/>
  </sheets>
  <definedNames>
    <definedName name="_GoBack" localSheetId="0">кду!$D$3</definedName>
  </definedNames>
  <calcPr calcId="145621"/>
</workbook>
</file>

<file path=xl/calcChain.xml><?xml version="1.0" encoding="utf-8"?>
<calcChain xmlns="http://schemas.openxmlformats.org/spreadsheetml/2006/main">
  <c r="O17" i="1" l="1"/>
  <c r="V17" i="1" s="1"/>
  <c r="G23" i="1"/>
  <c r="H23" i="1"/>
  <c r="F23" i="1"/>
  <c r="I23" i="1"/>
  <c r="I17" i="1"/>
  <c r="V11" i="1"/>
  <c r="V12" i="1"/>
  <c r="V13" i="1"/>
  <c r="V14" i="1"/>
  <c r="V15" i="1"/>
  <c r="V16" i="1"/>
  <c r="V18" i="1"/>
  <c r="V19" i="1"/>
  <c r="V20" i="1"/>
  <c r="V21" i="1"/>
  <c r="V22" i="1"/>
  <c r="V23" i="1"/>
  <c r="V24" i="1"/>
  <c r="V25" i="1"/>
  <c r="V26" i="1"/>
  <c r="V27" i="1"/>
  <c r="V28" i="1"/>
  <c r="V8" i="1"/>
  <c r="V9" i="1"/>
  <c r="V10" i="1"/>
  <c r="V6" i="1"/>
  <c r="V7" i="1"/>
  <c r="V5" i="1"/>
  <c r="R27" i="1" l="1"/>
  <c r="Q27" i="1"/>
  <c r="Q6" i="1" l="1"/>
  <c r="Q11" i="1"/>
  <c r="R16" i="1"/>
  <c r="R15" i="1"/>
  <c r="R26" i="1"/>
  <c r="R25" i="1"/>
  <c r="R6" i="1"/>
  <c r="R5" i="1"/>
  <c r="Q5" i="1"/>
  <c r="R10" i="1"/>
  <c r="Q8" i="1"/>
  <c r="Q12" i="1"/>
  <c r="Q25" i="1"/>
  <c r="Q15" i="1"/>
  <c r="R12" i="1"/>
  <c r="R11" i="1"/>
  <c r="Q10" i="1"/>
  <c r="Q9" i="1"/>
  <c r="R8" i="1"/>
  <c r="S17" i="1" l="1"/>
  <c r="U17" i="1" s="1"/>
  <c r="S6" i="1"/>
  <c r="T6" i="1" s="1"/>
  <c r="U14" i="1"/>
  <c r="U18" i="1"/>
  <c r="U19" i="1"/>
  <c r="U20" i="1"/>
  <c r="U21" i="1"/>
  <c r="U22" i="1"/>
  <c r="U24" i="1"/>
  <c r="T14" i="1"/>
  <c r="T18" i="1"/>
  <c r="T19" i="1"/>
  <c r="T20" i="1"/>
  <c r="T21" i="1"/>
  <c r="T22" i="1"/>
  <c r="T24" i="1"/>
  <c r="R23" i="1"/>
  <c r="Q23" i="1"/>
  <c r="R17" i="1"/>
  <c r="Q17" i="1"/>
  <c r="R13" i="1"/>
  <c r="Q13" i="1"/>
  <c r="R7" i="1"/>
  <c r="Q7" i="1"/>
  <c r="R24" i="1"/>
  <c r="R22" i="1"/>
  <c r="R21" i="1"/>
  <c r="R20" i="1"/>
  <c r="R19" i="1"/>
  <c r="R18" i="1"/>
  <c r="R14" i="1"/>
  <c r="R9" i="1"/>
  <c r="Q26" i="1"/>
  <c r="Q24" i="1"/>
  <c r="Q22" i="1"/>
  <c r="Q21" i="1"/>
  <c r="Q20" i="1"/>
  <c r="Q19" i="1"/>
  <c r="Q18" i="1"/>
  <c r="Q16" i="1"/>
  <c r="Q14" i="1"/>
  <c r="N23" i="1"/>
  <c r="O23" i="1"/>
  <c r="M23" i="1"/>
  <c r="N17" i="1"/>
  <c r="M17" i="1"/>
  <c r="N13" i="1"/>
  <c r="M13" i="1"/>
  <c r="P6" i="1"/>
  <c r="P7" i="1"/>
  <c r="P8" i="1"/>
  <c r="P9" i="1"/>
  <c r="P10" i="1"/>
  <c r="P11" i="1"/>
  <c r="P12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5" i="1"/>
  <c r="N7" i="1"/>
  <c r="M7" i="1"/>
  <c r="N27" i="1"/>
  <c r="N26" i="1"/>
  <c r="N25" i="1"/>
  <c r="N24" i="1"/>
  <c r="N22" i="1"/>
  <c r="N21" i="1"/>
  <c r="N20" i="1"/>
  <c r="N19" i="1"/>
  <c r="N18" i="1"/>
  <c r="N16" i="1"/>
  <c r="N15" i="1"/>
  <c r="N14" i="1"/>
  <c r="N12" i="1"/>
  <c r="N11" i="1"/>
  <c r="N10" i="1"/>
  <c r="N9" i="1"/>
  <c r="N8" i="1"/>
  <c r="N6" i="1"/>
  <c r="N5" i="1"/>
  <c r="M27" i="1"/>
  <c r="M26" i="1"/>
  <c r="M25" i="1"/>
  <c r="M24" i="1"/>
  <c r="M22" i="1"/>
  <c r="M21" i="1"/>
  <c r="M20" i="1"/>
  <c r="M19" i="1"/>
  <c r="M18" i="1"/>
  <c r="M16" i="1"/>
  <c r="M15" i="1"/>
  <c r="M14" i="1"/>
  <c r="M12" i="1"/>
  <c r="M11" i="1"/>
  <c r="M10" i="1"/>
  <c r="M9" i="1"/>
  <c r="M8" i="1"/>
  <c r="M6" i="1"/>
  <c r="M5" i="1"/>
  <c r="K23" i="1"/>
  <c r="L23" i="1"/>
  <c r="L22" i="1"/>
  <c r="L17" i="1"/>
  <c r="K17" i="1"/>
  <c r="L13" i="1"/>
  <c r="K13" i="1"/>
  <c r="L7" i="1"/>
  <c r="K7" i="1"/>
  <c r="K27" i="1"/>
  <c r="K26" i="1"/>
  <c r="K25" i="1"/>
  <c r="K24" i="1"/>
  <c r="K22" i="1"/>
  <c r="K21" i="1"/>
  <c r="K20" i="1"/>
  <c r="K19" i="1"/>
  <c r="K18" i="1"/>
  <c r="K16" i="1"/>
  <c r="K15" i="1"/>
  <c r="K14" i="1"/>
  <c r="K12" i="1"/>
  <c r="K11" i="1"/>
  <c r="K10" i="1"/>
  <c r="K9" i="1"/>
  <c r="K8" i="1"/>
  <c r="K6" i="1"/>
  <c r="K5" i="1"/>
  <c r="L27" i="1"/>
  <c r="L26" i="1"/>
  <c r="L25" i="1"/>
  <c r="L24" i="1"/>
  <c r="L21" i="1"/>
  <c r="L20" i="1"/>
  <c r="L19" i="1"/>
  <c r="L18" i="1"/>
  <c r="L16" i="1"/>
  <c r="L15" i="1"/>
  <c r="L14" i="1"/>
  <c r="L12" i="1"/>
  <c r="L11" i="1"/>
  <c r="L10" i="1"/>
  <c r="L9" i="1"/>
  <c r="L8" i="1"/>
  <c r="L6" i="1"/>
  <c r="L5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6" i="1"/>
  <c r="J5" i="1"/>
  <c r="H27" i="1"/>
  <c r="H26" i="1"/>
  <c r="H25" i="1"/>
  <c r="H24" i="1"/>
  <c r="H22" i="1"/>
  <c r="H21" i="1"/>
  <c r="H20" i="1"/>
  <c r="H19" i="1"/>
  <c r="H18" i="1"/>
  <c r="H16" i="1"/>
  <c r="H15" i="1"/>
  <c r="H14" i="1"/>
  <c r="H12" i="1"/>
  <c r="H11" i="1"/>
  <c r="H10" i="1"/>
  <c r="H9" i="1"/>
  <c r="H7" i="1" s="1"/>
  <c r="H8" i="1"/>
  <c r="H6" i="1"/>
  <c r="H5" i="1"/>
  <c r="G17" i="1"/>
  <c r="G13" i="1"/>
  <c r="H13" i="1"/>
  <c r="G7" i="1"/>
  <c r="G27" i="1"/>
  <c r="G26" i="1"/>
  <c r="G25" i="1"/>
  <c r="G24" i="1"/>
  <c r="G22" i="1"/>
  <c r="G21" i="1"/>
  <c r="G20" i="1"/>
  <c r="G19" i="1"/>
  <c r="G18" i="1"/>
  <c r="G16" i="1"/>
  <c r="G15" i="1"/>
  <c r="G14" i="1"/>
  <c r="G12" i="1"/>
  <c r="G11" i="1"/>
  <c r="G10" i="1"/>
  <c r="G9" i="1"/>
  <c r="G8" i="1"/>
  <c r="G6" i="1"/>
  <c r="G5" i="1"/>
  <c r="F27" i="1"/>
  <c r="F26" i="1"/>
  <c r="F25" i="1"/>
  <c r="F24" i="1"/>
  <c r="F17" i="1"/>
  <c r="F22" i="1"/>
  <c r="F21" i="1"/>
  <c r="F20" i="1"/>
  <c r="F19" i="1"/>
  <c r="F18" i="1"/>
  <c r="F16" i="1"/>
  <c r="F15" i="1"/>
  <c r="F14" i="1"/>
  <c r="F12" i="1"/>
  <c r="F11" i="1"/>
  <c r="F7" i="1"/>
  <c r="F10" i="1"/>
  <c r="F9" i="1"/>
  <c r="F8" i="1"/>
  <c r="F6" i="1"/>
  <c r="F5" i="1"/>
  <c r="S7" i="1" l="1"/>
  <c r="U7" i="1" s="1"/>
  <c r="U6" i="1"/>
  <c r="H17" i="1"/>
  <c r="F13" i="1"/>
  <c r="D28" i="1"/>
  <c r="T7" i="1" l="1"/>
  <c r="D23" i="1"/>
  <c r="E23" i="1" s="1"/>
  <c r="D27" i="1"/>
  <c r="D26" i="1"/>
  <c r="D25" i="1"/>
  <c r="D24" i="1"/>
  <c r="D17" i="1"/>
  <c r="D22" i="1"/>
  <c r="D21" i="1"/>
  <c r="D20" i="1"/>
  <c r="D19" i="1"/>
  <c r="D18" i="1"/>
  <c r="E13" i="1"/>
  <c r="D13" i="1"/>
  <c r="D16" i="1"/>
  <c r="D15" i="1"/>
  <c r="D14" i="1"/>
  <c r="D12" i="1"/>
  <c r="D11" i="1"/>
  <c r="E7" i="1"/>
  <c r="D7" i="1"/>
  <c r="D10" i="1"/>
  <c r="D9" i="1"/>
  <c r="D8" i="1"/>
  <c r="D6" i="1"/>
  <c r="D5" i="1"/>
  <c r="E27" i="1"/>
  <c r="E26" i="1"/>
  <c r="E25" i="1"/>
  <c r="E24" i="1"/>
  <c r="E22" i="1"/>
  <c r="E21" i="1"/>
  <c r="E20" i="1"/>
  <c r="E19" i="1"/>
  <c r="E18" i="1"/>
  <c r="E16" i="1"/>
  <c r="E15" i="1"/>
  <c r="E14" i="1"/>
  <c r="E12" i="1"/>
  <c r="E11" i="1"/>
  <c r="E10" i="1"/>
  <c r="E9" i="1"/>
  <c r="E8" i="1"/>
  <c r="E6" i="1"/>
  <c r="E5" i="1"/>
  <c r="E17" i="1" l="1"/>
  <c r="F28" i="1"/>
  <c r="G28" i="1"/>
  <c r="H28" i="1"/>
  <c r="Q28" i="1"/>
  <c r="R28" i="1"/>
  <c r="O22" i="1" l="1"/>
  <c r="I22" i="1"/>
  <c r="S21" i="1"/>
  <c r="O18" i="1"/>
  <c r="I18" i="1"/>
  <c r="S26" i="1"/>
  <c r="O26" i="1"/>
  <c r="I26" i="1"/>
  <c r="U26" i="1" l="1"/>
  <c r="T26" i="1"/>
  <c r="K28" i="1"/>
  <c r="M28" i="1"/>
  <c r="O21" i="1"/>
  <c r="N28" i="1"/>
  <c r="O24" i="1"/>
  <c r="O25" i="1"/>
  <c r="I24" i="1"/>
  <c r="S24" i="1"/>
  <c r="O27" i="1"/>
  <c r="I21" i="1"/>
  <c r="I25" i="1"/>
  <c r="S25" i="1"/>
  <c r="I27" i="1"/>
  <c r="S27" i="1"/>
  <c r="O14" i="1"/>
  <c r="O12" i="1"/>
  <c r="I12" i="1"/>
  <c r="S8" i="1"/>
  <c r="S9" i="1"/>
  <c r="S10" i="1"/>
  <c r="S11" i="1"/>
  <c r="S12" i="1"/>
  <c r="S13" i="1"/>
  <c r="S14" i="1"/>
  <c r="S15" i="1"/>
  <c r="S16" i="1"/>
  <c r="S18" i="1"/>
  <c r="S20" i="1"/>
  <c r="S22" i="1"/>
  <c r="O6" i="1"/>
  <c r="O7" i="1"/>
  <c r="O8" i="1"/>
  <c r="O9" i="1"/>
  <c r="O10" i="1"/>
  <c r="O11" i="1"/>
  <c r="O13" i="1"/>
  <c r="P13" i="1" s="1"/>
  <c r="O15" i="1"/>
  <c r="O16" i="1"/>
  <c r="O19" i="1"/>
  <c r="O20" i="1"/>
  <c r="O5" i="1"/>
  <c r="I6" i="1"/>
  <c r="I7" i="1"/>
  <c r="J7" i="1" s="1"/>
  <c r="I8" i="1"/>
  <c r="I10" i="1"/>
  <c r="I11" i="1"/>
  <c r="I13" i="1"/>
  <c r="I16" i="1"/>
  <c r="I19" i="1"/>
  <c r="I20" i="1"/>
  <c r="I5" i="1"/>
  <c r="C28" i="1"/>
  <c r="E28" i="1" s="1"/>
  <c r="T27" i="1" l="1"/>
  <c r="U27" i="1"/>
  <c r="T25" i="1"/>
  <c r="U25" i="1"/>
  <c r="S23" i="1"/>
  <c r="U16" i="1"/>
  <c r="T16" i="1"/>
  <c r="U13" i="1"/>
  <c r="T13" i="1"/>
  <c r="T15" i="1"/>
  <c r="U15" i="1"/>
  <c r="T12" i="1"/>
  <c r="U12" i="1"/>
  <c r="U11" i="1"/>
  <c r="T11" i="1"/>
  <c r="T10" i="1"/>
  <c r="U10" i="1"/>
  <c r="U9" i="1"/>
  <c r="T9" i="1"/>
  <c r="T8" i="1"/>
  <c r="U8" i="1"/>
  <c r="L28" i="1"/>
  <c r="O28" i="1"/>
  <c r="P28" i="1" s="1"/>
  <c r="I15" i="1"/>
  <c r="I14" i="1"/>
  <c r="I9" i="1"/>
  <c r="S19" i="1"/>
  <c r="S5" i="1"/>
  <c r="T23" i="1" l="1"/>
  <c r="U23" i="1"/>
  <c r="U5" i="1"/>
  <c r="T5" i="1"/>
  <c r="S28" i="1"/>
  <c r="S29" i="1" s="1"/>
  <c r="J17" i="1"/>
  <c r="I28" i="1"/>
  <c r="J28" i="1" s="1"/>
  <c r="T28" i="1" l="1"/>
  <c r="U28" i="1"/>
  <c r="P17" i="1"/>
  <c r="T17" i="1" l="1"/>
</calcChain>
</file>

<file path=xl/sharedStrings.xml><?xml version="1.0" encoding="utf-8"?>
<sst xmlns="http://schemas.openxmlformats.org/spreadsheetml/2006/main" count="66" uniqueCount="60">
  <si>
    <t>итого</t>
  </si>
  <si>
    <t>городское поселение Междуреченский</t>
  </si>
  <si>
    <t>городское поселение Кондинское</t>
  </si>
  <si>
    <t>городское поселение Мортка</t>
  </si>
  <si>
    <t>п. Мортка</t>
  </si>
  <si>
    <t>д. Юмас</t>
  </si>
  <si>
    <t>п. Ямки</t>
  </si>
  <si>
    <t>городское поселение Куминский</t>
  </si>
  <si>
    <t>городское поселение Луговой</t>
  </si>
  <si>
    <t>сельское поселение Леуши</t>
  </si>
  <si>
    <t>с. Леуши</t>
  </si>
  <si>
    <t>п. Лиственничный</t>
  </si>
  <si>
    <t>п. Ягодный</t>
  </si>
  <si>
    <t>сельское поселение Мулымья</t>
  </si>
  <si>
    <t>п. Мулымья</t>
  </si>
  <si>
    <t>д. Ушья</t>
  </si>
  <si>
    <t>п. Назарово</t>
  </si>
  <si>
    <t>п. Чантырья</t>
  </si>
  <si>
    <t>сельское поселение Половинка</t>
  </si>
  <si>
    <t>сельское поселение Болчары</t>
  </si>
  <si>
    <t>с. Болчары</t>
  </si>
  <si>
    <t xml:space="preserve">п. Алтай </t>
  </si>
  <si>
    <t>д. Кама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</si>
  <si>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</si>
  <si>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</si>
  <si>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</si>
  <si>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</si>
  <si>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</si>
  <si>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</si>
  <si>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</si>
  <si>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</si>
  <si>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</si>
  <si>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</si>
  <si>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</si>
  <si>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</si>
  <si>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</si>
  <si>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</si>
  <si>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</si>
  <si>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</si>
  <si>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</si>
  <si>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</si>
  <si>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</si>
  <si>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</si>
  <si>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</si>
  <si>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</si>
  <si>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</si>
  <si>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</si>
  <si>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</si>
  <si>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</si>
  <si>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</si>
  <si>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</si>
  <si>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</si>
  <si>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</si>
  <si>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</si>
  <si>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</si>
  <si>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средний бал по населенному пункту</t>
  </si>
  <si>
    <t>Мониторинг удовлетворенности населения качеством оказания услуг в учреждениях культурно-досугового типа в 2018 году</t>
  </si>
  <si>
    <t>ВСЕГО КОЛИЧЕСТВО БАЛЛОВ ПО ВСЕМ КРИТЕРИЯМ</t>
  </si>
  <si>
    <t>СРЕДНИЙ БАЛ ПО ВСЕМ КРИТЕРИЯМ</t>
  </si>
  <si>
    <t>процент от опрошенных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</si>
</sst>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Border="1"/>
    <xf numFmtId="0" fontId="3" fillId="0" borderId="0" xfId="0" applyFont="1" applyBorder="1"/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textRotation="90" wrapText="1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0" xfId="0" applyFont="1" applyBorder="1" applyAlignment="1">
      <alignment horizontal="center" textRotation="90" wrapText="1"/>
    </xf>
    <xf numFmtId="0" fontId="7" fillId="0" borderId="1" xfId="0" applyFont="1" applyBorder="1" applyAlignment="1">
      <alignment vertical="top"/>
    </xf>
    <xf numFmtId="0" fontId="0" fillId="0" borderId="0" xfId="0" applyFill="1"/>
    <xf numFmtId="0" fontId="1" fillId="0" borderId="1" xfId="0" applyFont="1" applyFill="1" applyBorder="1" applyAlignment="1">
      <alignment vertical="top"/>
    </xf>
    <xf numFmtId="0" fontId="1" fillId="3" borderId="7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7" fillId="0" borderId="9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164" fontId="0" fillId="0" borderId="0" xfId="0" applyNumberFormat="1"/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4" borderId="0" xfId="0" applyFont="1" applyFill="1"/>
    <xf numFmtId="10" fontId="0" fillId="4" borderId="11" xfId="0" applyNumberForma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textRotation="90"/>
    </xf>
    <xf numFmtId="0" fontId="2" fillId="0" borderId="13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tabSelected="1" zoomScale="75" zoomScaleNormal="75" workbookViewId="0">
      <selection activeCell="S36" sqref="S36"/>
    </sheetView>
  </sheetViews>
  <sheetFormatPr defaultRowHeight="15" x14ac:dyDescent="0.25"/>
  <cols>
    <col min="1" max="1" width="5.140625" style="1" customWidth="1"/>
    <col min="2" max="2" width="50.140625" style="1" customWidth="1"/>
    <col min="3" max="3" width="6.5703125" customWidth="1"/>
    <col min="4" max="4" width="20.140625" customWidth="1"/>
    <col min="5" max="5" width="6.140625" customWidth="1"/>
    <col min="6" max="6" width="11.140625" customWidth="1"/>
    <col min="7" max="7" width="10.140625" customWidth="1"/>
    <col min="8" max="8" width="9.7109375" customWidth="1"/>
    <col min="9" max="9" width="6.7109375" customWidth="1"/>
    <col min="10" max="10" width="6" customWidth="1"/>
    <col min="11" max="11" width="14.42578125" customWidth="1"/>
    <col min="12" max="12" width="6.5703125" customWidth="1"/>
    <col min="13" max="13" width="14.28515625" customWidth="1"/>
    <col min="14" max="14" width="9.140625" customWidth="1"/>
    <col min="15" max="15" width="7.85546875" customWidth="1"/>
    <col min="16" max="16" width="5.85546875" customWidth="1"/>
    <col min="17" max="17" width="13.7109375" customWidth="1"/>
    <col min="18" max="18" width="22.5703125" customWidth="1"/>
    <col min="19" max="19" width="9" customWidth="1"/>
    <col min="20" max="20" width="6" customWidth="1"/>
    <col min="21" max="21" width="9.85546875" customWidth="1"/>
    <col min="22" max="22" width="9.28515625" customWidth="1"/>
  </cols>
  <sheetData>
    <row r="2" spans="1:23" ht="46.5" customHeight="1" thickBot="1" x14ac:dyDescent="0.3">
      <c r="D2" s="45" t="s">
        <v>56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3" ht="75" customHeight="1" x14ac:dyDescent="0.25">
      <c r="A3" s="41" t="s">
        <v>25</v>
      </c>
      <c r="B3" s="39" t="s">
        <v>26</v>
      </c>
      <c r="C3" s="43" t="s">
        <v>24</v>
      </c>
      <c r="D3" s="46" t="s">
        <v>39</v>
      </c>
      <c r="E3" s="47"/>
      <c r="F3" s="48" t="s">
        <v>38</v>
      </c>
      <c r="G3" s="49"/>
      <c r="H3" s="49"/>
      <c r="I3" s="49"/>
      <c r="J3" s="50"/>
      <c r="K3" s="51" t="s">
        <v>37</v>
      </c>
      <c r="L3" s="52"/>
      <c r="M3" s="48" t="s">
        <v>36</v>
      </c>
      <c r="N3" s="49"/>
      <c r="O3" s="49"/>
      <c r="P3" s="50"/>
      <c r="Q3" s="48" t="s">
        <v>35</v>
      </c>
      <c r="R3" s="49"/>
      <c r="S3" s="49"/>
      <c r="T3" s="50"/>
      <c r="U3" s="53" t="s">
        <v>57</v>
      </c>
      <c r="V3" s="44" t="s">
        <v>58</v>
      </c>
    </row>
    <row r="4" spans="1:23" ht="108" customHeight="1" x14ac:dyDescent="0.25">
      <c r="A4" s="42"/>
      <c r="B4" s="40"/>
      <c r="C4" s="43"/>
      <c r="D4" s="5" t="s">
        <v>27</v>
      </c>
      <c r="E4" s="5" t="s">
        <v>55</v>
      </c>
      <c r="F4" s="5" t="s">
        <v>29</v>
      </c>
      <c r="G4" s="5" t="s">
        <v>30</v>
      </c>
      <c r="H4" s="5" t="s">
        <v>31</v>
      </c>
      <c r="I4" s="6" t="s">
        <v>28</v>
      </c>
      <c r="J4" s="6" t="s">
        <v>55</v>
      </c>
      <c r="K4" s="5" t="s">
        <v>32</v>
      </c>
      <c r="L4" s="5" t="s">
        <v>55</v>
      </c>
      <c r="M4" s="5" t="s">
        <v>33</v>
      </c>
      <c r="N4" s="5" t="s">
        <v>34</v>
      </c>
      <c r="O4" s="6" t="s">
        <v>28</v>
      </c>
      <c r="P4" s="6" t="s">
        <v>55</v>
      </c>
      <c r="Q4" s="5" t="s">
        <v>40</v>
      </c>
      <c r="R4" s="5" t="s">
        <v>41</v>
      </c>
      <c r="S4" s="6" t="s">
        <v>28</v>
      </c>
      <c r="T4" s="6" t="s">
        <v>55</v>
      </c>
      <c r="U4" s="54"/>
      <c r="V4" s="44"/>
    </row>
    <row r="5" spans="1:23" ht="18.75" x14ac:dyDescent="0.25">
      <c r="A5" s="16">
        <v>1</v>
      </c>
      <c r="B5" s="11" t="s">
        <v>1</v>
      </c>
      <c r="C5" s="22">
        <v>200</v>
      </c>
      <c r="D5" s="20">
        <f>1940</f>
        <v>1940</v>
      </c>
      <c r="E5" s="20">
        <f>1940/200</f>
        <v>9.6999999999999993</v>
      </c>
      <c r="F5" s="20">
        <f>1940</f>
        <v>1940</v>
      </c>
      <c r="G5" s="20">
        <f>1840</f>
        <v>1840</v>
      </c>
      <c r="H5" s="20">
        <f>830</f>
        <v>830</v>
      </c>
      <c r="I5" s="20">
        <f>H5+G5+F5</f>
        <v>4610</v>
      </c>
      <c r="J5" s="21">
        <f>I5/C5/3</f>
        <v>7.6833333333333336</v>
      </c>
      <c r="K5" s="20">
        <f>2020</f>
        <v>2020</v>
      </c>
      <c r="L5" s="20">
        <f>2020/200</f>
        <v>10.1</v>
      </c>
      <c r="M5" s="20">
        <f>1890</f>
        <v>1890</v>
      </c>
      <c r="N5" s="20">
        <f>1960</f>
        <v>1960</v>
      </c>
      <c r="O5" s="20">
        <f>N5+M5</f>
        <v>3850</v>
      </c>
      <c r="P5" s="20">
        <f>O5/C5/2</f>
        <v>9.625</v>
      </c>
      <c r="Q5" s="20">
        <f>1950</f>
        <v>1950</v>
      </c>
      <c r="R5" s="20">
        <f>1820</f>
        <v>1820</v>
      </c>
      <c r="S5" s="20">
        <f>R5+Q5</f>
        <v>3770</v>
      </c>
      <c r="T5" s="20">
        <f>S5/C5/2</f>
        <v>9.4250000000000007</v>
      </c>
      <c r="U5" s="20">
        <f>S5+O5+K5+I5+D5</f>
        <v>16190</v>
      </c>
      <c r="V5" s="38">
        <f>(D5+I5+K5+O5+S5)/C5/9</f>
        <v>8.9944444444444454</v>
      </c>
    </row>
    <row r="6" spans="1:23" ht="18.75" x14ac:dyDescent="0.25">
      <c r="A6" s="17">
        <v>2</v>
      </c>
      <c r="B6" s="11" t="s">
        <v>2</v>
      </c>
      <c r="C6" s="22">
        <v>150</v>
      </c>
      <c r="D6" s="20">
        <f>1344</f>
        <v>1344</v>
      </c>
      <c r="E6" s="20">
        <f>1344/150</f>
        <v>8.9600000000000009</v>
      </c>
      <c r="F6" s="20">
        <f>1332</f>
        <v>1332</v>
      </c>
      <c r="G6" s="20">
        <f>1320</f>
        <v>1320</v>
      </c>
      <c r="H6" s="20">
        <f>636</f>
        <v>636</v>
      </c>
      <c r="I6" s="20">
        <f t="shared" ref="I6:I22" si="0">H6+G6+F6</f>
        <v>3288</v>
      </c>
      <c r="J6" s="21">
        <f t="shared" ref="J6:J28" si="1">I6/C6/3</f>
        <v>7.3066666666666675</v>
      </c>
      <c r="K6" s="20">
        <f>1368</f>
        <v>1368</v>
      </c>
      <c r="L6" s="20">
        <f>1368/150</f>
        <v>9.1199999999999992</v>
      </c>
      <c r="M6" s="20">
        <f>1302</f>
        <v>1302</v>
      </c>
      <c r="N6" s="20">
        <f>1344</f>
        <v>1344</v>
      </c>
      <c r="O6" s="20">
        <f t="shared" ref="O6:O22" si="2">N6+M6</f>
        <v>2646</v>
      </c>
      <c r="P6" s="20">
        <f t="shared" ref="P6:P28" si="3">O6/C6/2</f>
        <v>8.82</v>
      </c>
      <c r="Q6" s="20">
        <f>1388</f>
        <v>1388</v>
      </c>
      <c r="R6" s="20">
        <f>1035</f>
        <v>1035</v>
      </c>
      <c r="S6" s="20">
        <f t="shared" ref="S6:S7" si="4">R6+Q6</f>
        <v>2423</v>
      </c>
      <c r="T6" s="20">
        <f t="shared" ref="T6:T28" si="5">S6/C6/2</f>
        <v>8.0766666666666662</v>
      </c>
      <c r="U6" s="20">
        <f t="shared" ref="U6:U28" si="6">S6+O6+K6+I6+D6</f>
        <v>11069</v>
      </c>
      <c r="V6" s="38">
        <f t="shared" ref="V6:V28" si="7">(D6+I6+K6+O6+S6)/C6/9</f>
        <v>8.199259259259259</v>
      </c>
    </row>
    <row r="7" spans="1:23" ht="18.75" x14ac:dyDescent="0.25">
      <c r="A7" s="17">
        <v>3</v>
      </c>
      <c r="B7" s="11" t="s">
        <v>3</v>
      </c>
      <c r="C7" s="23">
        <v>150</v>
      </c>
      <c r="D7" s="24">
        <f>D8+D9+D10</f>
        <v>1303</v>
      </c>
      <c r="E7" s="24">
        <f>1303/150</f>
        <v>8.6866666666666674</v>
      </c>
      <c r="F7" s="24">
        <f>F8+F9+F10</f>
        <v>1286</v>
      </c>
      <c r="G7" s="24">
        <f t="shared" ref="G7" si="8">G8+G9+G10</f>
        <v>1266</v>
      </c>
      <c r="H7" s="24">
        <f>H8+H9+H10</f>
        <v>583</v>
      </c>
      <c r="I7" s="24">
        <f t="shared" si="0"/>
        <v>3135</v>
      </c>
      <c r="J7" s="20">
        <f t="shared" si="1"/>
        <v>6.9666666666666659</v>
      </c>
      <c r="K7" s="24">
        <f>K8+K9+K10</f>
        <v>1306</v>
      </c>
      <c r="L7" s="24">
        <f>K7/C7</f>
        <v>8.706666666666667</v>
      </c>
      <c r="M7" s="24">
        <f>M8+M9+M10</f>
        <v>1326</v>
      </c>
      <c r="N7" s="24">
        <f>N8+N9+N10</f>
        <v>1284</v>
      </c>
      <c r="O7" s="24">
        <f t="shared" si="2"/>
        <v>2610</v>
      </c>
      <c r="P7" s="20">
        <f t="shared" si="3"/>
        <v>8.6999999999999993</v>
      </c>
      <c r="Q7" s="24">
        <f>Q8+Q9+Q10</f>
        <v>1383</v>
      </c>
      <c r="R7" s="24">
        <f>R8+R9+R10</f>
        <v>1241</v>
      </c>
      <c r="S7" s="20">
        <f t="shared" si="4"/>
        <v>2624</v>
      </c>
      <c r="T7" s="20">
        <f t="shared" si="5"/>
        <v>8.7466666666666661</v>
      </c>
      <c r="U7" s="20">
        <f t="shared" si="6"/>
        <v>10978</v>
      </c>
      <c r="V7" s="38">
        <f t="shared" si="7"/>
        <v>8.1318518518518523</v>
      </c>
    </row>
    <row r="8" spans="1:23" ht="18.75" x14ac:dyDescent="0.25">
      <c r="A8" s="14" t="s">
        <v>42</v>
      </c>
      <c r="B8" s="15" t="s">
        <v>4</v>
      </c>
      <c r="C8" s="25">
        <v>50</v>
      </c>
      <c r="D8" s="26">
        <f>430</f>
        <v>430</v>
      </c>
      <c r="E8" s="26">
        <f>430/50</f>
        <v>8.6</v>
      </c>
      <c r="F8" s="26">
        <f>426</f>
        <v>426</v>
      </c>
      <c r="G8" s="26">
        <f>453</f>
        <v>453</v>
      </c>
      <c r="H8" s="26">
        <f>250</f>
        <v>250</v>
      </c>
      <c r="I8" s="27">
        <f t="shared" si="0"/>
        <v>1129</v>
      </c>
      <c r="J8" s="20">
        <f t="shared" si="1"/>
        <v>7.5266666666666664</v>
      </c>
      <c r="K8" s="26">
        <f>420</f>
        <v>420</v>
      </c>
      <c r="L8" s="26">
        <f>420/50</f>
        <v>8.4</v>
      </c>
      <c r="M8" s="26">
        <f>440</f>
        <v>440</v>
      </c>
      <c r="N8" s="26">
        <f>448</f>
        <v>448</v>
      </c>
      <c r="O8" s="27">
        <f t="shared" si="2"/>
        <v>888</v>
      </c>
      <c r="P8" s="20">
        <f t="shared" si="3"/>
        <v>8.8800000000000008</v>
      </c>
      <c r="Q8" s="26">
        <f>468</f>
        <v>468</v>
      </c>
      <c r="R8" s="26">
        <f>435</f>
        <v>435</v>
      </c>
      <c r="S8" s="27">
        <f t="shared" ref="S8:S22" si="9">R8+Q8</f>
        <v>903</v>
      </c>
      <c r="T8" s="37">
        <f t="shared" si="5"/>
        <v>9.0299999999999994</v>
      </c>
      <c r="U8" s="37">
        <f t="shared" si="6"/>
        <v>3770</v>
      </c>
      <c r="V8" s="38">
        <f>(D8+I8+K8+O8+S8)/C8/9</f>
        <v>8.3777777777777782</v>
      </c>
    </row>
    <row r="9" spans="1:23" ht="18.75" x14ac:dyDescent="0.25">
      <c r="A9" s="14" t="s">
        <v>43</v>
      </c>
      <c r="B9" s="15" t="s">
        <v>5</v>
      </c>
      <c r="C9" s="25">
        <v>50</v>
      </c>
      <c r="D9" s="26">
        <f>433</f>
        <v>433</v>
      </c>
      <c r="E9" s="26">
        <f>433/50</f>
        <v>8.66</v>
      </c>
      <c r="F9" s="26">
        <f>420</f>
        <v>420</v>
      </c>
      <c r="G9" s="26">
        <f>413</f>
        <v>413</v>
      </c>
      <c r="H9" s="26">
        <f>237</f>
        <v>237</v>
      </c>
      <c r="I9" s="27">
        <f t="shared" si="0"/>
        <v>1070</v>
      </c>
      <c r="J9" s="20">
        <f t="shared" si="1"/>
        <v>7.1333333333333329</v>
      </c>
      <c r="K9" s="26">
        <f>480</f>
        <v>480</v>
      </c>
      <c r="L9" s="26">
        <f>480/50</f>
        <v>9.6</v>
      </c>
      <c r="M9" s="26">
        <f>466</f>
        <v>466</v>
      </c>
      <c r="N9" s="26">
        <f>466</f>
        <v>466</v>
      </c>
      <c r="O9" s="27">
        <f t="shared" si="2"/>
        <v>932</v>
      </c>
      <c r="P9" s="20">
        <f t="shared" si="3"/>
        <v>9.32</v>
      </c>
      <c r="Q9" s="26">
        <f>468</f>
        <v>468</v>
      </c>
      <c r="R9" s="26">
        <f>468</f>
        <v>468</v>
      </c>
      <c r="S9" s="27">
        <f t="shared" si="9"/>
        <v>936</v>
      </c>
      <c r="T9" s="37">
        <f t="shared" si="5"/>
        <v>9.36</v>
      </c>
      <c r="U9" s="37">
        <f t="shared" si="6"/>
        <v>3851</v>
      </c>
      <c r="V9" s="38">
        <f t="shared" si="7"/>
        <v>8.5577777777777779</v>
      </c>
    </row>
    <row r="10" spans="1:23" ht="18.75" x14ac:dyDescent="0.25">
      <c r="A10" s="14" t="s">
        <v>44</v>
      </c>
      <c r="B10" s="15" t="s">
        <v>6</v>
      </c>
      <c r="C10" s="25">
        <v>50</v>
      </c>
      <c r="D10" s="26">
        <f>440</f>
        <v>440</v>
      </c>
      <c r="E10" s="26">
        <f>440/50</f>
        <v>8.8000000000000007</v>
      </c>
      <c r="F10" s="26">
        <f>440</f>
        <v>440</v>
      </c>
      <c r="G10" s="26">
        <f>400</f>
        <v>400</v>
      </c>
      <c r="H10" s="26">
        <f>96</f>
        <v>96</v>
      </c>
      <c r="I10" s="27">
        <f t="shared" si="0"/>
        <v>936</v>
      </c>
      <c r="J10" s="20">
        <f t="shared" si="1"/>
        <v>6.2399999999999993</v>
      </c>
      <c r="K10" s="26">
        <f>406</f>
        <v>406</v>
      </c>
      <c r="L10" s="26">
        <f>406/50</f>
        <v>8.1199999999999992</v>
      </c>
      <c r="M10" s="26">
        <f>420</f>
        <v>420</v>
      </c>
      <c r="N10" s="26">
        <f>370</f>
        <v>370</v>
      </c>
      <c r="O10" s="27">
        <f t="shared" si="2"/>
        <v>790</v>
      </c>
      <c r="P10" s="20">
        <f t="shared" si="3"/>
        <v>7.9</v>
      </c>
      <c r="Q10" s="26">
        <f>447</f>
        <v>447</v>
      </c>
      <c r="R10" s="26">
        <f>338</f>
        <v>338</v>
      </c>
      <c r="S10" s="27">
        <f t="shared" si="9"/>
        <v>785</v>
      </c>
      <c r="T10" s="37">
        <f t="shared" si="5"/>
        <v>7.85</v>
      </c>
      <c r="U10" s="37">
        <f t="shared" si="6"/>
        <v>3357</v>
      </c>
      <c r="V10" s="38">
        <f t="shared" si="7"/>
        <v>7.46</v>
      </c>
    </row>
    <row r="11" spans="1:23" ht="18.75" x14ac:dyDescent="0.25">
      <c r="A11" s="17">
        <v>4</v>
      </c>
      <c r="B11" s="11" t="s">
        <v>7</v>
      </c>
      <c r="C11" s="22">
        <v>150</v>
      </c>
      <c r="D11" s="20">
        <f>1230</f>
        <v>1230</v>
      </c>
      <c r="E11" s="20">
        <f>1230/150</f>
        <v>8.1999999999999993</v>
      </c>
      <c r="F11" s="20">
        <f>1220</f>
        <v>1220</v>
      </c>
      <c r="G11" s="20">
        <f>1300</f>
        <v>1300</v>
      </c>
      <c r="H11" s="20">
        <f>630</f>
        <v>630</v>
      </c>
      <c r="I11" s="20">
        <f t="shared" si="0"/>
        <v>3150</v>
      </c>
      <c r="J11" s="20">
        <f t="shared" si="1"/>
        <v>7</v>
      </c>
      <c r="K11" s="20">
        <f>1210</f>
        <v>1210</v>
      </c>
      <c r="L11" s="20">
        <f>1210/150</f>
        <v>8.0666666666666664</v>
      </c>
      <c r="M11" s="20">
        <f>1260</f>
        <v>1260</v>
      </c>
      <c r="N11" s="20">
        <f>1320</f>
        <v>1320</v>
      </c>
      <c r="O11" s="20">
        <f t="shared" si="2"/>
        <v>2580</v>
      </c>
      <c r="P11" s="20">
        <f t="shared" si="3"/>
        <v>8.6</v>
      </c>
      <c r="Q11" s="20">
        <f>1380</f>
        <v>1380</v>
      </c>
      <c r="R11" s="20">
        <f>1108</f>
        <v>1108</v>
      </c>
      <c r="S11" s="20">
        <f t="shared" si="9"/>
        <v>2488</v>
      </c>
      <c r="T11" s="20">
        <f t="shared" si="5"/>
        <v>8.293333333333333</v>
      </c>
      <c r="U11" s="20">
        <f t="shared" si="6"/>
        <v>10658</v>
      </c>
      <c r="V11" s="38">
        <f t="shared" si="7"/>
        <v>7.8948148148148141</v>
      </c>
    </row>
    <row r="12" spans="1:23" ht="18.75" x14ac:dyDescent="0.25">
      <c r="A12" s="17">
        <v>5</v>
      </c>
      <c r="B12" s="18" t="s">
        <v>8</v>
      </c>
      <c r="C12" s="23">
        <v>150</v>
      </c>
      <c r="D12" s="24">
        <f>1298</f>
        <v>1298</v>
      </c>
      <c r="E12" s="24">
        <f>1298/150</f>
        <v>8.6533333333333342</v>
      </c>
      <c r="F12" s="24">
        <f>1174</f>
        <v>1174</v>
      </c>
      <c r="G12" s="24">
        <f>1398</f>
        <v>1398</v>
      </c>
      <c r="H12" s="24">
        <f>464</f>
        <v>464</v>
      </c>
      <c r="I12" s="24">
        <f t="shared" si="0"/>
        <v>3036</v>
      </c>
      <c r="J12" s="20">
        <f t="shared" si="1"/>
        <v>6.7466666666666661</v>
      </c>
      <c r="K12" s="24">
        <f>1448</f>
        <v>1448</v>
      </c>
      <c r="L12" s="24">
        <f>1448/150</f>
        <v>9.6533333333333342</v>
      </c>
      <c r="M12" s="24">
        <f>1374</f>
        <v>1374</v>
      </c>
      <c r="N12" s="24">
        <f>1298</f>
        <v>1298</v>
      </c>
      <c r="O12" s="24">
        <f t="shared" si="2"/>
        <v>2672</v>
      </c>
      <c r="P12" s="20">
        <f t="shared" si="3"/>
        <v>8.9066666666666663</v>
      </c>
      <c r="Q12" s="24">
        <f>1480</f>
        <v>1480</v>
      </c>
      <c r="R12" s="24">
        <f>1350</f>
        <v>1350</v>
      </c>
      <c r="S12" s="24">
        <f t="shared" si="9"/>
        <v>2830</v>
      </c>
      <c r="T12" s="20">
        <f t="shared" si="5"/>
        <v>9.4333333333333336</v>
      </c>
      <c r="U12" s="20">
        <f t="shared" si="6"/>
        <v>11284</v>
      </c>
      <c r="V12" s="38">
        <f t="shared" si="7"/>
        <v>8.3585185185185189</v>
      </c>
    </row>
    <row r="13" spans="1:23" ht="18.75" x14ac:dyDescent="0.25">
      <c r="A13" s="17">
        <v>6</v>
      </c>
      <c r="B13" s="11" t="s">
        <v>9</v>
      </c>
      <c r="C13" s="22">
        <v>150</v>
      </c>
      <c r="D13" s="20">
        <f>D14+D15+D16</f>
        <v>1327</v>
      </c>
      <c r="E13" s="20">
        <f>D13/C13</f>
        <v>8.8466666666666658</v>
      </c>
      <c r="F13" s="20">
        <f>F14+F15+F16</f>
        <v>1340</v>
      </c>
      <c r="G13" s="20">
        <f t="shared" ref="G13:H13" si="10">G14+G15+G16</f>
        <v>1388</v>
      </c>
      <c r="H13" s="20">
        <f t="shared" si="10"/>
        <v>670</v>
      </c>
      <c r="I13" s="20">
        <f t="shared" si="0"/>
        <v>3398</v>
      </c>
      <c r="J13" s="20">
        <f t="shared" si="1"/>
        <v>7.5511111111111111</v>
      </c>
      <c r="K13" s="20">
        <f>K14+K15+K16</f>
        <v>1342</v>
      </c>
      <c r="L13" s="20">
        <f>K13/C13</f>
        <v>8.9466666666666672</v>
      </c>
      <c r="M13" s="20">
        <f>M14+M15+M16</f>
        <v>1414</v>
      </c>
      <c r="N13" s="20">
        <f>N14+N15+N16</f>
        <v>1400</v>
      </c>
      <c r="O13" s="20">
        <f t="shared" si="2"/>
        <v>2814</v>
      </c>
      <c r="P13" s="20">
        <f t="shared" si="3"/>
        <v>9.3800000000000008</v>
      </c>
      <c r="Q13" s="20">
        <f>Q14+Q15+Q16</f>
        <v>1392</v>
      </c>
      <c r="R13" s="20">
        <f>R14+R15+R16</f>
        <v>1233</v>
      </c>
      <c r="S13" s="20">
        <f t="shared" si="9"/>
        <v>2625</v>
      </c>
      <c r="T13" s="20">
        <f t="shared" si="5"/>
        <v>8.75</v>
      </c>
      <c r="U13" s="20">
        <f t="shared" si="6"/>
        <v>11506</v>
      </c>
      <c r="V13" s="38">
        <f t="shared" si="7"/>
        <v>8.5229629629629624</v>
      </c>
    </row>
    <row r="14" spans="1:23" ht="18.75" x14ac:dyDescent="0.25">
      <c r="A14" s="14" t="s">
        <v>45</v>
      </c>
      <c r="B14" s="15" t="s">
        <v>10</v>
      </c>
      <c r="C14" s="25">
        <v>50</v>
      </c>
      <c r="D14" s="27">
        <f>473</f>
        <v>473</v>
      </c>
      <c r="E14" s="27">
        <f>473/50</f>
        <v>9.4600000000000009</v>
      </c>
      <c r="F14" s="27">
        <f>440</f>
        <v>440</v>
      </c>
      <c r="G14" s="27">
        <f>454</f>
        <v>454</v>
      </c>
      <c r="H14" s="27">
        <f>180</f>
        <v>180</v>
      </c>
      <c r="I14" s="27">
        <f t="shared" si="0"/>
        <v>1074</v>
      </c>
      <c r="J14" s="20">
        <f t="shared" si="1"/>
        <v>7.16</v>
      </c>
      <c r="K14" s="27">
        <f>440</f>
        <v>440</v>
      </c>
      <c r="L14" s="27">
        <f>440/50</f>
        <v>8.8000000000000007</v>
      </c>
      <c r="M14" s="27">
        <f>460</f>
        <v>460</v>
      </c>
      <c r="N14" s="27">
        <f>480</f>
        <v>480</v>
      </c>
      <c r="O14" s="27">
        <f t="shared" si="2"/>
        <v>940</v>
      </c>
      <c r="P14" s="20">
        <f t="shared" si="3"/>
        <v>9.4</v>
      </c>
      <c r="Q14" s="27">
        <f>488</f>
        <v>488</v>
      </c>
      <c r="R14" s="27">
        <f>480</f>
        <v>480</v>
      </c>
      <c r="S14" s="27">
        <f t="shared" si="9"/>
        <v>968</v>
      </c>
      <c r="T14" s="37">
        <f t="shared" si="5"/>
        <v>9.68</v>
      </c>
      <c r="U14" s="37">
        <f t="shared" si="6"/>
        <v>3895</v>
      </c>
      <c r="V14" s="38">
        <f t="shared" si="7"/>
        <v>8.6555555555555568</v>
      </c>
    </row>
    <row r="15" spans="1:23" ht="18.75" x14ac:dyDescent="0.25">
      <c r="A15" s="14" t="s">
        <v>46</v>
      </c>
      <c r="B15" s="15" t="s">
        <v>11</v>
      </c>
      <c r="C15" s="25">
        <v>50</v>
      </c>
      <c r="D15" s="26">
        <f>406</f>
        <v>406</v>
      </c>
      <c r="E15" s="26">
        <f>406/50</f>
        <v>8.1199999999999992</v>
      </c>
      <c r="F15" s="26">
        <f>420</f>
        <v>420</v>
      </c>
      <c r="G15" s="26">
        <f>434</f>
        <v>434</v>
      </c>
      <c r="H15" s="26">
        <f>240</f>
        <v>240</v>
      </c>
      <c r="I15" s="27">
        <f t="shared" si="0"/>
        <v>1094</v>
      </c>
      <c r="J15" s="20">
        <f t="shared" si="1"/>
        <v>7.293333333333333</v>
      </c>
      <c r="K15" s="26">
        <f>454</f>
        <v>454</v>
      </c>
      <c r="L15" s="26">
        <f>454/50</f>
        <v>9.08</v>
      </c>
      <c r="M15" s="26">
        <f>474</f>
        <v>474</v>
      </c>
      <c r="N15" s="26">
        <f>460</f>
        <v>460</v>
      </c>
      <c r="O15" s="27">
        <f t="shared" si="2"/>
        <v>934</v>
      </c>
      <c r="P15" s="20">
        <f t="shared" si="3"/>
        <v>9.34</v>
      </c>
      <c r="Q15" s="26">
        <f>438</f>
        <v>438</v>
      </c>
      <c r="R15" s="26">
        <f>386+30</f>
        <v>416</v>
      </c>
      <c r="S15" s="27">
        <f t="shared" si="9"/>
        <v>854</v>
      </c>
      <c r="T15" s="37">
        <f t="shared" si="5"/>
        <v>8.5399999999999991</v>
      </c>
      <c r="U15" s="37">
        <f t="shared" si="6"/>
        <v>3742</v>
      </c>
      <c r="V15" s="38">
        <f t="shared" si="7"/>
        <v>8.3155555555555551</v>
      </c>
    </row>
    <row r="16" spans="1:23" ht="18.75" x14ac:dyDescent="0.25">
      <c r="A16" s="14" t="s">
        <v>47</v>
      </c>
      <c r="B16" s="15" t="s">
        <v>12</v>
      </c>
      <c r="C16" s="25">
        <v>50</v>
      </c>
      <c r="D16" s="26">
        <f>448</f>
        <v>448</v>
      </c>
      <c r="E16" s="26">
        <f>448/50</f>
        <v>8.9600000000000009</v>
      </c>
      <c r="F16" s="26">
        <f>480</f>
        <v>480</v>
      </c>
      <c r="G16" s="26">
        <f>500</f>
        <v>500</v>
      </c>
      <c r="H16" s="26">
        <f>250</f>
        <v>250</v>
      </c>
      <c r="I16" s="27">
        <f t="shared" si="0"/>
        <v>1230</v>
      </c>
      <c r="J16" s="20">
        <f t="shared" si="1"/>
        <v>8.2000000000000011</v>
      </c>
      <c r="K16" s="26">
        <f>448</f>
        <v>448</v>
      </c>
      <c r="L16" s="26">
        <f>448/50</f>
        <v>8.9600000000000009</v>
      </c>
      <c r="M16" s="26">
        <f>480</f>
        <v>480</v>
      </c>
      <c r="N16" s="26">
        <f>460</f>
        <v>460</v>
      </c>
      <c r="O16" s="27">
        <f t="shared" si="2"/>
        <v>940</v>
      </c>
      <c r="P16" s="20">
        <f t="shared" si="3"/>
        <v>9.4</v>
      </c>
      <c r="Q16" s="26">
        <f>466</f>
        <v>466</v>
      </c>
      <c r="R16" s="26">
        <f>337</f>
        <v>337</v>
      </c>
      <c r="S16" s="27">
        <f t="shared" si="9"/>
        <v>803</v>
      </c>
      <c r="T16" s="37">
        <f t="shared" si="5"/>
        <v>8.0299999999999994</v>
      </c>
      <c r="U16" s="37">
        <f t="shared" si="6"/>
        <v>3869</v>
      </c>
      <c r="V16" s="38">
        <f t="shared" si="7"/>
        <v>8.5977777777777771</v>
      </c>
      <c r="W16" s="12"/>
    </row>
    <row r="17" spans="1:22" ht="22.5" customHeight="1" x14ac:dyDescent="0.25">
      <c r="A17" s="17">
        <v>7</v>
      </c>
      <c r="B17" s="11" t="s">
        <v>13</v>
      </c>
      <c r="C17" s="22">
        <v>200</v>
      </c>
      <c r="D17" s="28">
        <f>D18+D19+D20+D21</f>
        <v>1881</v>
      </c>
      <c r="E17" s="28">
        <f>(((D18*E18)+(D19*E19)+(D20*E20)+(D21*E21))/D17)</f>
        <v>9.4208718766613515</v>
      </c>
      <c r="F17" s="28">
        <f>F18+F19+F20+F21</f>
        <v>1964</v>
      </c>
      <c r="G17" s="28">
        <f t="shared" ref="G17:H17" si="11">G18+G19+G20+G21</f>
        <v>1960</v>
      </c>
      <c r="H17" s="28">
        <f t="shared" si="11"/>
        <v>890</v>
      </c>
      <c r="I17" s="28">
        <f>I18+I19+I20+I21</f>
        <v>4814</v>
      </c>
      <c r="J17" s="20">
        <f t="shared" si="1"/>
        <v>8.0233333333333334</v>
      </c>
      <c r="K17" s="28">
        <f>K18+K19+K20+K21</f>
        <v>2000</v>
      </c>
      <c r="L17" s="28">
        <f>K17/C17</f>
        <v>10</v>
      </c>
      <c r="M17" s="28">
        <f>M18+M19+M20+M21</f>
        <v>2000</v>
      </c>
      <c r="N17" s="28">
        <f>N18+N19+N20+N21</f>
        <v>2000</v>
      </c>
      <c r="O17" s="28">
        <f>O18+O19+O20+O21</f>
        <v>4000</v>
      </c>
      <c r="P17" s="20">
        <f t="shared" si="3"/>
        <v>10</v>
      </c>
      <c r="Q17" s="28">
        <f>Q18+Q19+Q20+Q21</f>
        <v>1948</v>
      </c>
      <c r="R17" s="28">
        <f>R18+R19+R20+R21</f>
        <v>1950</v>
      </c>
      <c r="S17" s="28">
        <f>S18+S19+S20+S21</f>
        <v>3898</v>
      </c>
      <c r="T17" s="20">
        <f t="shared" si="5"/>
        <v>9.7449999999999992</v>
      </c>
      <c r="U17" s="20">
        <f t="shared" si="6"/>
        <v>16593</v>
      </c>
      <c r="V17" s="38">
        <f t="shared" si="7"/>
        <v>9.2183333333333337</v>
      </c>
    </row>
    <row r="18" spans="1:22" ht="18.75" x14ac:dyDescent="0.25">
      <c r="A18" s="14" t="s">
        <v>48</v>
      </c>
      <c r="B18" s="15" t="s">
        <v>14</v>
      </c>
      <c r="C18" s="25">
        <v>50</v>
      </c>
      <c r="D18" s="26">
        <f>473</f>
        <v>473</v>
      </c>
      <c r="E18" s="26">
        <f>473/50</f>
        <v>9.4600000000000009</v>
      </c>
      <c r="F18" s="26">
        <f>500</f>
        <v>500</v>
      </c>
      <c r="G18" s="26">
        <f>500</f>
        <v>500</v>
      </c>
      <c r="H18" s="26">
        <f>210</f>
        <v>210</v>
      </c>
      <c r="I18" s="27">
        <f t="shared" si="0"/>
        <v>1210</v>
      </c>
      <c r="J18" s="20">
        <f t="shared" si="1"/>
        <v>8.0666666666666664</v>
      </c>
      <c r="K18" s="26">
        <f>500</f>
        <v>500</v>
      </c>
      <c r="L18" s="26">
        <f t="shared" ref="L18:L21" si="12">500/50</f>
        <v>10</v>
      </c>
      <c r="M18" s="26">
        <f>500</f>
        <v>500</v>
      </c>
      <c r="N18" s="26">
        <f>500</f>
        <v>500</v>
      </c>
      <c r="O18" s="27">
        <f t="shared" si="2"/>
        <v>1000</v>
      </c>
      <c r="P18" s="20">
        <f t="shared" si="3"/>
        <v>10</v>
      </c>
      <c r="Q18" s="26">
        <f>480</f>
        <v>480</v>
      </c>
      <c r="R18" s="26">
        <f>484</f>
        <v>484</v>
      </c>
      <c r="S18" s="27">
        <f t="shared" si="9"/>
        <v>964</v>
      </c>
      <c r="T18" s="37">
        <f t="shared" si="5"/>
        <v>9.64</v>
      </c>
      <c r="U18" s="37">
        <f t="shared" si="6"/>
        <v>4147</v>
      </c>
      <c r="V18" s="38">
        <f t="shared" si="7"/>
        <v>9.2155555555555555</v>
      </c>
    </row>
    <row r="19" spans="1:22" ht="18.75" x14ac:dyDescent="0.25">
      <c r="A19" s="14" t="s">
        <v>49</v>
      </c>
      <c r="B19" s="15" t="s">
        <v>15</v>
      </c>
      <c r="C19" s="25">
        <v>50</v>
      </c>
      <c r="D19" s="26">
        <f>500</f>
        <v>500</v>
      </c>
      <c r="E19" s="26">
        <f>500/50</f>
        <v>10</v>
      </c>
      <c r="F19" s="26">
        <f>500</f>
        <v>500</v>
      </c>
      <c r="G19" s="26">
        <f>500</f>
        <v>500</v>
      </c>
      <c r="H19" s="26">
        <f>250</f>
        <v>250</v>
      </c>
      <c r="I19" s="27">
        <f t="shared" si="0"/>
        <v>1250</v>
      </c>
      <c r="J19" s="20">
        <f t="shared" si="1"/>
        <v>8.3333333333333339</v>
      </c>
      <c r="K19" s="26">
        <f>500</f>
        <v>500</v>
      </c>
      <c r="L19" s="26">
        <f t="shared" si="12"/>
        <v>10</v>
      </c>
      <c r="M19" s="26">
        <f>500</f>
        <v>500</v>
      </c>
      <c r="N19" s="26">
        <f>500</f>
        <v>500</v>
      </c>
      <c r="O19" s="27">
        <f t="shared" si="2"/>
        <v>1000</v>
      </c>
      <c r="P19" s="20">
        <f t="shared" si="3"/>
        <v>10</v>
      </c>
      <c r="Q19" s="26">
        <f>488</f>
        <v>488</v>
      </c>
      <c r="R19" s="26">
        <f>500</f>
        <v>500</v>
      </c>
      <c r="S19" s="27">
        <f t="shared" si="9"/>
        <v>988</v>
      </c>
      <c r="T19" s="37">
        <f t="shared" si="5"/>
        <v>9.8800000000000008</v>
      </c>
      <c r="U19" s="37">
        <f t="shared" si="6"/>
        <v>4238</v>
      </c>
      <c r="V19" s="38">
        <f t="shared" si="7"/>
        <v>9.4177777777777791</v>
      </c>
    </row>
    <row r="20" spans="1:22" ht="18.75" x14ac:dyDescent="0.25">
      <c r="A20" s="14" t="s">
        <v>50</v>
      </c>
      <c r="B20" s="15" t="s">
        <v>16</v>
      </c>
      <c r="C20" s="25">
        <v>50</v>
      </c>
      <c r="D20" s="26">
        <f>460</f>
        <v>460</v>
      </c>
      <c r="E20" s="26">
        <f>460/50</f>
        <v>9.1999999999999993</v>
      </c>
      <c r="F20" s="26">
        <f>484</f>
        <v>484</v>
      </c>
      <c r="G20" s="26">
        <f>460</f>
        <v>460</v>
      </c>
      <c r="H20" s="26">
        <f>180</f>
        <v>180</v>
      </c>
      <c r="I20" s="27">
        <f t="shared" si="0"/>
        <v>1124</v>
      </c>
      <c r="J20" s="20">
        <f t="shared" si="1"/>
        <v>7.4933333333333332</v>
      </c>
      <c r="K20" s="26">
        <f>500</f>
        <v>500</v>
      </c>
      <c r="L20" s="26">
        <f t="shared" si="12"/>
        <v>10</v>
      </c>
      <c r="M20" s="26">
        <f>500</f>
        <v>500</v>
      </c>
      <c r="N20" s="26">
        <f>500</f>
        <v>500</v>
      </c>
      <c r="O20" s="27">
        <f t="shared" si="2"/>
        <v>1000</v>
      </c>
      <c r="P20" s="20">
        <f t="shared" si="3"/>
        <v>10</v>
      </c>
      <c r="Q20" s="26">
        <f>480</f>
        <v>480</v>
      </c>
      <c r="R20" s="26">
        <f>486</f>
        <v>486</v>
      </c>
      <c r="S20" s="27">
        <f t="shared" si="9"/>
        <v>966</v>
      </c>
      <c r="T20" s="37">
        <f t="shared" si="5"/>
        <v>9.66</v>
      </c>
      <c r="U20" s="37">
        <f t="shared" si="6"/>
        <v>4050</v>
      </c>
      <c r="V20" s="38">
        <f t="shared" si="7"/>
        <v>9</v>
      </c>
    </row>
    <row r="21" spans="1:22" ht="18.75" x14ac:dyDescent="0.25">
      <c r="A21" s="14" t="s">
        <v>51</v>
      </c>
      <c r="B21" s="15" t="s">
        <v>17</v>
      </c>
      <c r="C21" s="25">
        <v>50</v>
      </c>
      <c r="D21" s="26">
        <f>448</f>
        <v>448</v>
      </c>
      <c r="E21" s="26">
        <f>448/50</f>
        <v>8.9600000000000009</v>
      </c>
      <c r="F21" s="26">
        <f>480</f>
        <v>480</v>
      </c>
      <c r="G21" s="26">
        <f>500</f>
        <v>500</v>
      </c>
      <c r="H21" s="26">
        <f>250</f>
        <v>250</v>
      </c>
      <c r="I21" s="27">
        <f t="shared" ref="I21" si="13">H21+G21+F21</f>
        <v>1230</v>
      </c>
      <c r="J21" s="20">
        <f t="shared" si="1"/>
        <v>8.2000000000000011</v>
      </c>
      <c r="K21" s="26">
        <f>500</f>
        <v>500</v>
      </c>
      <c r="L21" s="26">
        <f t="shared" si="12"/>
        <v>10</v>
      </c>
      <c r="M21" s="26">
        <f>500</f>
        <v>500</v>
      </c>
      <c r="N21" s="26">
        <f>500</f>
        <v>500</v>
      </c>
      <c r="O21" s="27">
        <f t="shared" ref="O21" si="14">N21+M21</f>
        <v>1000</v>
      </c>
      <c r="P21" s="20">
        <f t="shared" si="3"/>
        <v>10</v>
      </c>
      <c r="Q21" s="26">
        <f>500</f>
        <v>500</v>
      </c>
      <c r="R21" s="26">
        <f>480</f>
        <v>480</v>
      </c>
      <c r="S21" s="27">
        <f t="shared" ref="S21" si="15">R21+Q21</f>
        <v>980</v>
      </c>
      <c r="T21" s="37">
        <f t="shared" si="5"/>
        <v>9.8000000000000007</v>
      </c>
      <c r="U21" s="37">
        <f t="shared" si="6"/>
        <v>4158</v>
      </c>
      <c r="V21" s="38">
        <f t="shared" si="7"/>
        <v>9.24</v>
      </c>
    </row>
    <row r="22" spans="1:22" ht="18.75" x14ac:dyDescent="0.25">
      <c r="A22" s="7">
        <v>8</v>
      </c>
      <c r="B22" s="13" t="s">
        <v>18</v>
      </c>
      <c r="C22" s="29">
        <v>150</v>
      </c>
      <c r="D22" s="30">
        <f>1320</f>
        <v>1320</v>
      </c>
      <c r="E22" s="30">
        <f>1320/150</f>
        <v>8.8000000000000007</v>
      </c>
      <c r="F22" s="30">
        <f>1480</f>
        <v>1480</v>
      </c>
      <c r="G22" s="30">
        <f>1460</f>
        <v>1460</v>
      </c>
      <c r="H22" s="30">
        <f>750</f>
        <v>750</v>
      </c>
      <c r="I22" s="31">
        <f t="shared" si="0"/>
        <v>3690</v>
      </c>
      <c r="J22" s="20">
        <f t="shared" si="1"/>
        <v>8.2000000000000011</v>
      </c>
      <c r="K22" s="30">
        <f>1280</f>
        <v>1280</v>
      </c>
      <c r="L22" s="30">
        <f>K22/C22</f>
        <v>8.5333333333333332</v>
      </c>
      <c r="M22" s="30">
        <f>1320</f>
        <v>1320</v>
      </c>
      <c r="N22" s="30">
        <f>1280</f>
        <v>1280</v>
      </c>
      <c r="O22" s="31">
        <f t="shared" si="2"/>
        <v>2600</v>
      </c>
      <c r="P22" s="20">
        <f t="shared" si="3"/>
        <v>8.6666666666666661</v>
      </c>
      <c r="Q22" s="30">
        <f>1320</f>
        <v>1320</v>
      </c>
      <c r="R22" s="30">
        <f>1500</f>
        <v>1500</v>
      </c>
      <c r="S22" s="31">
        <f t="shared" si="9"/>
        <v>2820</v>
      </c>
      <c r="T22" s="20">
        <f t="shared" si="5"/>
        <v>9.4</v>
      </c>
      <c r="U22" s="20">
        <f t="shared" si="6"/>
        <v>11710</v>
      </c>
      <c r="V22" s="38">
        <f t="shared" si="7"/>
        <v>8.674074074074074</v>
      </c>
    </row>
    <row r="23" spans="1:22" ht="18.75" x14ac:dyDescent="0.25">
      <c r="A23" s="7">
        <v>9</v>
      </c>
      <c r="B23" s="13" t="s">
        <v>19</v>
      </c>
      <c r="C23" s="29">
        <v>150</v>
      </c>
      <c r="D23" s="31">
        <f>D24+D25+D26</f>
        <v>1369</v>
      </c>
      <c r="E23" s="31">
        <f>D23/C23</f>
        <v>9.1266666666666669</v>
      </c>
      <c r="F23" s="31">
        <f>F24+F25+F26</f>
        <v>1460</v>
      </c>
      <c r="G23" s="31">
        <f t="shared" ref="G23:H23" si="16">G24+G25+G26</f>
        <v>1500</v>
      </c>
      <c r="H23" s="31">
        <f t="shared" si="16"/>
        <v>710</v>
      </c>
      <c r="I23" s="31">
        <f>I24+I25+I26</f>
        <v>3670</v>
      </c>
      <c r="J23" s="20">
        <f t="shared" si="1"/>
        <v>8.155555555555555</v>
      </c>
      <c r="K23" s="31">
        <f>K24+K25+K26</f>
        <v>1396</v>
      </c>
      <c r="L23" s="31">
        <f>K23/C23</f>
        <v>9.3066666666666666</v>
      </c>
      <c r="M23" s="31">
        <f>M24+M25+M26</f>
        <v>1460</v>
      </c>
      <c r="N23" s="31">
        <f t="shared" ref="N23:O23" si="17">N24+N25+N26</f>
        <v>1420</v>
      </c>
      <c r="O23" s="31">
        <f t="shared" si="17"/>
        <v>2880</v>
      </c>
      <c r="P23" s="20">
        <f t="shared" si="3"/>
        <v>9.6</v>
      </c>
      <c r="Q23" s="31">
        <f>Q24+Q25+Q26</f>
        <v>1413</v>
      </c>
      <c r="R23" s="31">
        <f>R24+R25+R26</f>
        <v>1030</v>
      </c>
      <c r="S23" s="31">
        <f>S24+S25+S26</f>
        <v>2443</v>
      </c>
      <c r="T23" s="20">
        <f t="shared" si="5"/>
        <v>8.1433333333333326</v>
      </c>
      <c r="U23" s="20">
        <f t="shared" si="6"/>
        <v>11758</v>
      </c>
      <c r="V23" s="38">
        <f t="shared" si="7"/>
        <v>8.7096296296296298</v>
      </c>
    </row>
    <row r="24" spans="1:22" ht="18.75" x14ac:dyDescent="0.25">
      <c r="A24" s="14" t="s">
        <v>52</v>
      </c>
      <c r="B24" s="15" t="s">
        <v>20</v>
      </c>
      <c r="C24" s="25">
        <v>50</v>
      </c>
      <c r="D24" s="26">
        <f>473</f>
        <v>473</v>
      </c>
      <c r="E24" s="26">
        <f>473/50</f>
        <v>9.4600000000000009</v>
      </c>
      <c r="F24" s="26">
        <f>500</f>
        <v>500</v>
      </c>
      <c r="G24" s="26">
        <f>500</f>
        <v>500</v>
      </c>
      <c r="H24" s="26">
        <f>210</f>
        <v>210</v>
      </c>
      <c r="I24" s="27">
        <f t="shared" ref="I24" si="18">H24+G24+F24</f>
        <v>1210</v>
      </c>
      <c r="J24" s="20">
        <f t="shared" si="1"/>
        <v>8.0666666666666664</v>
      </c>
      <c r="K24" s="26">
        <f>500</f>
        <v>500</v>
      </c>
      <c r="L24" s="26">
        <f>500/50</f>
        <v>10</v>
      </c>
      <c r="M24" s="26">
        <f>500</f>
        <v>500</v>
      </c>
      <c r="N24" s="26">
        <f>500</f>
        <v>500</v>
      </c>
      <c r="O24" s="27">
        <f t="shared" ref="O24" si="19">N24+M24</f>
        <v>1000</v>
      </c>
      <c r="P24" s="20">
        <f t="shared" si="3"/>
        <v>10</v>
      </c>
      <c r="Q24" s="26">
        <f>480</f>
        <v>480</v>
      </c>
      <c r="R24" s="26">
        <f>484</f>
        <v>484</v>
      </c>
      <c r="S24" s="27">
        <f t="shared" ref="S24" si="20">R24+Q24</f>
        <v>964</v>
      </c>
      <c r="T24" s="37">
        <f t="shared" si="5"/>
        <v>9.64</v>
      </c>
      <c r="U24" s="37">
        <f t="shared" si="6"/>
        <v>4147</v>
      </c>
      <c r="V24" s="38">
        <f t="shared" si="7"/>
        <v>9.2155555555555555</v>
      </c>
    </row>
    <row r="25" spans="1:22" ht="18.75" x14ac:dyDescent="0.25">
      <c r="A25" s="14" t="s">
        <v>53</v>
      </c>
      <c r="B25" s="15" t="s">
        <v>21</v>
      </c>
      <c r="C25" s="25">
        <v>50</v>
      </c>
      <c r="D25" s="26">
        <f>448</f>
        <v>448</v>
      </c>
      <c r="E25" s="26">
        <f>448/50</f>
        <v>8.9600000000000009</v>
      </c>
      <c r="F25" s="26">
        <f>480</f>
        <v>480</v>
      </c>
      <c r="G25" s="26">
        <f>500</f>
        <v>500</v>
      </c>
      <c r="H25" s="26">
        <f>250</f>
        <v>250</v>
      </c>
      <c r="I25" s="27">
        <f t="shared" ref="I25:I26" si="21">H25+G25+F25</f>
        <v>1230</v>
      </c>
      <c r="J25" s="20">
        <f t="shared" si="1"/>
        <v>8.2000000000000011</v>
      </c>
      <c r="K25" s="26">
        <f>448</f>
        <v>448</v>
      </c>
      <c r="L25" s="26">
        <f>448/50</f>
        <v>8.9600000000000009</v>
      </c>
      <c r="M25" s="26">
        <f>480</f>
        <v>480</v>
      </c>
      <c r="N25" s="26">
        <f>460</f>
        <v>460</v>
      </c>
      <c r="O25" s="27">
        <f t="shared" ref="O25:O26" si="22">N25+M25</f>
        <v>940</v>
      </c>
      <c r="P25" s="20">
        <f t="shared" si="3"/>
        <v>9.4</v>
      </c>
      <c r="Q25" s="26">
        <f>467</f>
        <v>467</v>
      </c>
      <c r="R25" s="26">
        <f>289</f>
        <v>289</v>
      </c>
      <c r="S25" s="27">
        <f t="shared" ref="S25:S26" si="23">R25+Q25</f>
        <v>756</v>
      </c>
      <c r="T25" s="37">
        <f t="shared" si="5"/>
        <v>7.56</v>
      </c>
      <c r="U25" s="37">
        <f t="shared" si="6"/>
        <v>3822</v>
      </c>
      <c r="V25" s="38">
        <f t="shared" si="7"/>
        <v>8.4933333333333323</v>
      </c>
    </row>
    <row r="26" spans="1:22" ht="18.75" x14ac:dyDescent="0.25">
      <c r="A26" s="14" t="s">
        <v>54</v>
      </c>
      <c r="B26" s="15" t="s">
        <v>22</v>
      </c>
      <c r="C26" s="25">
        <v>50</v>
      </c>
      <c r="D26" s="26">
        <f>448</f>
        <v>448</v>
      </c>
      <c r="E26" s="26">
        <f>448/50</f>
        <v>8.9600000000000009</v>
      </c>
      <c r="F26" s="26">
        <f>480</f>
        <v>480</v>
      </c>
      <c r="G26" s="26">
        <f>500</f>
        <v>500</v>
      </c>
      <c r="H26" s="26">
        <f>250</f>
        <v>250</v>
      </c>
      <c r="I26" s="27">
        <f t="shared" si="21"/>
        <v>1230</v>
      </c>
      <c r="J26" s="20">
        <f t="shared" si="1"/>
        <v>8.2000000000000011</v>
      </c>
      <c r="K26" s="26">
        <f>448</f>
        <v>448</v>
      </c>
      <c r="L26" s="26">
        <f>448/50</f>
        <v>8.9600000000000009</v>
      </c>
      <c r="M26" s="26">
        <f>480</f>
        <v>480</v>
      </c>
      <c r="N26" s="26">
        <f>460</f>
        <v>460</v>
      </c>
      <c r="O26" s="27">
        <f t="shared" si="22"/>
        <v>940</v>
      </c>
      <c r="P26" s="20">
        <f t="shared" si="3"/>
        <v>9.4</v>
      </c>
      <c r="Q26" s="26">
        <f>466</f>
        <v>466</v>
      </c>
      <c r="R26" s="26">
        <f>218+39</f>
        <v>257</v>
      </c>
      <c r="S26" s="27">
        <f t="shared" si="23"/>
        <v>723</v>
      </c>
      <c r="T26" s="37">
        <f t="shared" si="5"/>
        <v>7.23</v>
      </c>
      <c r="U26" s="37">
        <f t="shared" si="6"/>
        <v>3789</v>
      </c>
      <c r="V26" s="38">
        <f t="shared" si="7"/>
        <v>8.42</v>
      </c>
    </row>
    <row r="27" spans="1:22" ht="18.75" x14ac:dyDescent="0.25">
      <c r="A27" s="7">
        <v>10</v>
      </c>
      <c r="B27" s="8" t="s">
        <v>23</v>
      </c>
      <c r="C27" s="32">
        <v>50</v>
      </c>
      <c r="D27" s="30">
        <f>448</f>
        <v>448</v>
      </c>
      <c r="E27" s="30">
        <f>448/50</f>
        <v>8.9600000000000009</v>
      </c>
      <c r="F27" s="30">
        <f>480</f>
        <v>480</v>
      </c>
      <c r="G27" s="30">
        <f>500</f>
        <v>500</v>
      </c>
      <c r="H27" s="30">
        <f>250</f>
        <v>250</v>
      </c>
      <c r="I27" s="31">
        <f t="shared" ref="I27" si="24">H27+G27+F27</f>
        <v>1230</v>
      </c>
      <c r="J27" s="20">
        <f t="shared" si="1"/>
        <v>8.2000000000000011</v>
      </c>
      <c r="K27" s="30">
        <f>448</f>
        <v>448</v>
      </c>
      <c r="L27" s="30">
        <f>448/50</f>
        <v>8.9600000000000009</v>
      </c>
      <c r="M27" s="30">
        <f>480</f>
        <v>480</v>
      </c>
      <c r="N27" s="30">
        <f>460</f>
        <v>460</v>
      </c>
      <c r="O27" s="31">
        <f t="shared" ref="O27" si="25">N27+M27</f>
        <v>940</v>
      </c>
      <c r="P27" s="20">
        <f t="shared" si="3"/>
        <v>9.4</v>
      </c>
      <c r="Q27" s="30">
        <f>466</f>
        <v>466</v>
      </c>
      <c r="R27" s="30">
        <f>218</f>
        <v>218</v>
      </c>
      <c r="S27" s="31">
        <f t="shared" ref="S27" si="26">R27+Q27</f>
        <v>684</v>
      </c>
      <c r="T27" s="20">
        <f t="shared" si="5"/>
        <v>6.84</v>
      </c>
      <c r="U27" s="20">
        <f t="shared" si="6"/>
        <v>3750</v>
      </c>
      <c r="V27" s="38">
        <f t="shared" si="7"/>
        <v>8.3333333333333339</v>
      </c>
    </row>
    <row r="28" spans="1:22" ht="15.75" thickBot="1" x14ac:dyDescent="0.3">
      <c r="A28" s="2"/>
      <c r="B28" s="9" t="s">
        <v>0</v>
      </c>
      <c r="C28" s="33">
        <f t="shared" ref="C28:S28" si="27">C27+C26+C25+C24+C22+C21+C20+C19+C18+C16+C15+C14+C12+C11+C10+C9+C8+C6+C5</f>
        <v>1500</v>
      </c>
      <c r="D28" s="33">
        <f t="shared" si="27"/>
        <v>13460</v>
      </c>
      <c r="E28" s="34">
        <f>D28/C28</f>
        <v>8.9733333333333327</v>
      </c>
      <c r="F28" s="33">
        <f t="shared" si="27"/>
        <v>13676</v>
      </c>
      <c r="G28" s="33">
        <f t="shared" si="27"/>
        <v>13932</v>
      </c>
      <c r="H28" s="33">
        <f t="shared" si="27"/>
        <v>6413</v>
      </c>
      <c r="I28" s="33">
        <f t="shared" si="27"/>
        <v>34021</v>
      </c>
      <c r="J28" s="20">
        <f t="shared" si="1"/>
        <v>7.5602222222222224</v>
      </c>
      <c r="K28" s="33">
        <f t="shared" si="27"/>
        <v>13818</v>
      </c>
      <c r="L28" s="34">
        <f>K28/C28</f>
        <v>9.2119999999999997</v>
      </c>
      <c r="M28" s="33">
        <f t="shared" si="27"/>
        <v>13826</v>
      </c>
      <c r="N28" s="33">
        <f t="shared" si="27"/>
        <v>13766</v>
      </c>
      <c r="O28" s="33">
        <f t="shared" si="27"/>
        <v>27592</v>
      </c>
      <c r="P28" s="20">
        <f t="shared" si="3"/>
        <v>9.1973333333333329</v>
      </c>
      <c r="Q28" s="33">
        <f t="shared" si="27"/>
        <v>14120</v>
      </c>
      <c r="R28" s="33">
        <f t="shared" si="27"/>
        <v>12485</v>
      </c>
      <c r="S28" s="33">
        <f t="shared" si="27"/>
        <v>26605</v>
      </c>
      <c r="T28" s="20">
        <f t="shared" si="5"/>
        <v>8.8683333333333341</v>
      </c>
      <c r="U28" s="20">
        <f t="shared" si="6"/>
        <v>115496</v>
      </c>
      <c r="V28" s="38">
        <f t="shared" si="7"/>
        <v>8.5552592592592589</v>
      </c>
    </row>
    <row r="29" spans="1:22" x14ac:dyDescent="0.25">
      <c r="D29" s="19"/>
      <c r="R29" s="35" t="s">
        <v>59</v>
      </c>
      <c r="S29" s="36">
        <f>S28/(C28*20)</f>
        <v>0.88683333333333336</v>
      </c>
    </row>
    <row r="30" spans="1:22" x14ac:dyDescent="0.25">
      <c r="C30" s="3"/>
    </row>
    <row r="31" spans="1:22" x14ac:dyDescent="0.25">
      <c r="C31" s="3"/>
    </row>
    <row r="32" spans="1:22" x14ac:dyDescent="0.25">
      <c r="C32" s="3"/>
    </row>
    <row r="33" spans="3:17" x14ac:dyDescent="0.25">
      <c r="C33" s="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x14ac:dyDescent="0.25">
      <c r="C34" s="4"/>
    </row>
    <row r="35" spans="3:17" x14ac:dyDescent="0.25">
      <c r="C35" s="4"/>
    </row>
    <row r="36" spans="3:17" x14ac:dyDescent="0.25">
      <c r="C36" s="4"/>
    </row>
    <row r="37" spans="3:17" x14ac:dyDescent="0.25">
      <c r="C37" s="3"/>
    </row>
    <row r="38" spans="3:17" x14ac:dyDescent="0.25">
      <c r="C38" s="3"/>
    </row>
    <row r="39" spans="3:17" x14ac:dyDescent="0.25">
      <c r="C39" s="3"/>
    </row>
    <row r="40" spans="3:17" x14ac:dyDescent="0.25">
      <c r="C40" s="4"/>
    </row>
    <row r="41" spans="3:17" x14ac:dyDescent="0.25">
      <c r="C41" s="4"/>
    </row>
    <row r="42" spans="3:17" x14ac:dyDescent="0.25">
      <c r="C42" s="4"/>
    </row>
    <row r="43" spans="3:17" x14ac:dyDescent="0.25">
      <c r="C43" s="3"/>
    </row>
    <row r="44" spans="3:17" x14ac:dyDescent="0.25">
      <c r="C44" s="4"/>
    </row>
    <row r="45" spans="3:17" x14ac:dyDescent="0.25">
      <c r="C45" s="4"/>
    </row>
    <row r="46" spans="3:17" x14ac:dyDescent="0.25">
      <c r="C46" s="4"/>
    </row>
    <row r="47" spans="3:17" x14ac:dyDescent="0.25">
      <c r="C47" s="4"/>
    </row>
    <row r="48" spans="3:17" x14ac:dyDescent="0.25">
      <c r="C48" s="3"/>
    </row>
    <row r="49" spans="3:3" x14ac:dyDescent="0.25">
      <c r="C49" s="3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3"/>
    </row>
    <row r="54" spans="3:3" x14ac:dyDescent="0.25">
      <c r="C54" s="3"/>
    </row>
  </sheetData>
  <mergeCells count="11">
    <mergeCell ref="B3:B4"/>
    <mergeCell ref="A3:A4"/>
    <mergeCell ref="C3:C4"/>
    <mergeCell ref="V3:V4"/>
    <mergeCell ref="D2:V2"/>
    <mergeCell ref="D3:E3"/>
    <mergeCell ref="F3:J3"/>
    <mergeCell ref="K3:L3"/>
    <mergeCell ref="M3:P3"/>
    <mergeCell ref="Q3:T3"/>
    <mergeCell ref="U3:U4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кду</vt:lpstr>
      <vt:lpstr>кду!_GoBack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2019-01-30T05:50:55Z</dcterms:modified>
</cp:coreProperties>
</file>