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<sst xmlns="http://schemas.openxmlformats.org/spreadsheetml/2006/main" count="678" uniqueCount="241">
  <si>
    <t>ОТЧЕТ ОБ ИСПОЛНЕНИИ БЮДЖЕТА</t>
  </si>
  <si>
    <t>КОДЫ</t>
  </si>
  <si>
    <t xml:space="preserve">Форма по ОКУД </t>
  </si>
  <si>
    <t>0503117</t>
  </si>
  <si>
    <t>на 1 июля 2018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</si>
  <si>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</si>
  <si>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</si>
  <si>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</si>
  <si>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</si>
  <si>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</si>
  <si>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</si>
  <si>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</si>
  <si>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</si>
  <si>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</si>
  <si>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</si>
  <si>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</si>
  <si>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</si>
  <si>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</si>
  <si>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</si>
  <si>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</si>
  <si>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</si>
  <si>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</si>
  <si>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</si>
  <si>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</si>
  <si>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</si>
  <si>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</si>
  <si>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</si>
  <si>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</si>
  <si>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</si>
  <si>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</si>
  <si>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</si>
  <si>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</si>
  <si>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</si>
  <si>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</si>
  <si>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</si>
  <si>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</si>
  <si>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</si>
  <si>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</si>
  <si>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</si>
  <si>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</si>
  <si>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</si>
  <si>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</si>
  <si>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</si>
  <si>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</si>
  <si>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</si>
  <si>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</si>
  <si>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</si>
  <si>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</si>
  <si>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</si>
  <si>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</si>
  <si>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</si>
  <si>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</si>
  <si>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</si>
  <si>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</si>
  <si>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</si>
  <si>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</si>
  <si>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</si>
  <si>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</si>
  <si>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</si>
  <si>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</si>
  <si>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</si>
  <si>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</si>
  <si>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</si>
  <si>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-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</si>
  <si>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</si>
  <si>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</si>
  <si>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</si>
  <si>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</si>
  <si>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</si>
  <si>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</si>
  <si>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</si>
  <si>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</si>
  <si>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</si>
  <si>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</si>
  <si>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</si>
  <si>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</si>
  <si>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</si>
  <si>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</si>
  <si>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</si>
  <si>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</si>
  <si>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</si>
  <si>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</si>
  <si>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</si>
  <si>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</si>
  <si>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</si>
  <si>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</si>
  <si>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</si>
  <si>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</si>
  <si>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</si>
  <si>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</si>
  <si>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</si>
  <si>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</si>
  <si>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</si>
  <si>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</si>
  <si>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</si>
  <si>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</si>
  <si>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</si>
  <si>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</si>
  <si>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</si>
  <si>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</si>
  <si>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</si>
  <si>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</si>
  <si>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</si>
  <si>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</si>
  <si>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</si>
  <si>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</si>
  <si>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</si>
  <si>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</si>
  <si>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</si>
  <si>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</si>
  <si>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</si>
  <si>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</si>
  <si>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</si>
  <si>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</si>
  <si>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расходы</t>
  </si>
  <si>
    <t>650 0107 0904179990 123</t>
  </si>
  <si>
    <t>296</t>
  </si>
  <si>
    <t>650 0111 6000007050 870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</si>
  <si>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</si>
  <si>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</si>
  <si>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</si>
  <si>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</si>
  <si>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</si>
  <si>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</si>
  <si>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</si>
  <si>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</si>
  <si>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</si>
  <si>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</si>
  <si>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</si>
  <si>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</si>
  <si>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</si>
  <si>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</si>
  <si>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</si>
  <si>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650 0113 0901502400 851</t>
  </si>
  <si>
    <t>291</t>
  </si>
  <si>
    <t>650 0113 0901502400 852</t>
  </si>
  <si>
    <t>650 0113 0901700590 111</t>
  </si>
  <si>
    <t>650 0113 0901700590 112</t>
  </si>
  <si>
    <t>650 0113 0901700590 119</t>
  </si>
  <si>
    <t>650 0113 0901700590 242</t>
  </si>
  <si>
    <t>650 0113 0901700590 244</t>
  </si>
  <si>
    <t>650 0113 0901700590 851</t>
  </si>
  <si>
    <t>650 0113 0901700590 852</t>
  </si>
  <si>
    <t>Штрафы за нарушение законодательства о налогах и сборах, законодательства о страховых взносах</t>
  </si>
  <si>
    <t>650 0113 0901700590 853</t>
  </si>
  <si>
    <t>292</t>
  </si>
  <si>
    <t>650 0113 0902102400 122</t>
  </si>
  <si>
    <t>650 0113 0903102400 853</t>
  </si>
  <si>
    <t>650 0113 6000002400 244</t>
  </si>
  <si>
    <t>650 0203 0901451180 121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</si>
  <si>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</si>
  <si>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</si>
  <si>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</si>
  <si>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</si>
  <si>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</si>
  <si>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</si>
  <si>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</si>
  <si>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</si>
  <si>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</si>
  <si>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</si>
  <si>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</si>
  <si>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</si>
  <si>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</si>
  <si>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</si>
  <si>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</si>
  <si>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</si>
  <si>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</si>
  <si>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</si>
  <si>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</si>
  <si>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</si>
  <si>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</si>
  <si>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</si>
  <si>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</si>
  <si>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</si>
  <si>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650 0502 6000070010 540</t>
  </si>
  <si>
    <t>650 0502 6000082591 540</t>
  </si>
  <si>
    <t>650 0502 60000S2591 540</t>
  </si>
  <si>
    <t>650 0503 0511176100 244</t>
  </si>
  <si>
    <t>650 0503 0511276100 244</t>
  </si>
  <si>
    <t>650 0503 0521276400 244</t>
  </si>
  <si>
    <t>650 0503 0541176500 244</t>
  </si>
  <si>
    <t>650 0503 0551176500 244</t>
  </si>
  <si>
    <t>650 0503 0551199990 244</t>
  </si>
  <si>
    <t>650 0503 1002305550 540</t>
  </si>
  <si>
    <t>650 0503 1002395550 540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</si>
  <si>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</si>
  <si>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</si>
  <si>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</si>
  <si>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</si>
  <si>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</si>
  <si>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</si>
  <si>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</si>
  <si>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Фонд оплаты труда учреждений</t>
  </si>
  <si>
    <t>650 0707 6000000590 111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</si>
  <si>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</si>
  <si>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</si>
  <si>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</si>
  <si>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</si>
  <si>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</si>
  <si>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</si>
  <si>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</si>
  <si>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</si>
  <si>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</si>
  <si>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650 0801 0611582580 111</t>
  </si>
  <si>
    <t>650 0801 0611582580 119</t>
  </si>
  <si>
    <t>650 0801 06115S2580 111</t>
  </si>
  <si>
    <t>650 0801 06115S2580 119</t>
  </si>
  <si>
    <t>650 0801 0612174060 244</t>
  </si>
  <si>
    <t>Транспортные услуги</t>
  </si>
  <si>
    <t>650 0801 0613170050 244</t>
  </si>
  <si>
    <t>222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</si>
  <si>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</si>
  <si>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</si>
  <si>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</si>
  <si>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</si>
  <si>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</si>
  <si>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</si>
  <si>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</si>
  <si>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</si>
  <si>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</si>
  <si>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</si>
  <si>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</si>
  <si>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</si>
  <si>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</si>
  <si>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</si>
  <si>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</si>
  <si>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</si>
  <si>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</si>
  <si>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</si>
  <si>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</si>
  <si>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</si>
  <si>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</si>
  <si>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</si>
  <si>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</si>
  <si>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</si>
  <si>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</si>
  <si>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</si>
  <si>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</si>
  <si>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</si>
  <si>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3 июля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</si>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</sst>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2"/>
  <sheetViews>
    <sheetView tabSelected="1" zoomScalePageLayoutView="0" workbookViewId="0" topLeftCell="A143">
      <selection activeCell="Y163" sqref="Y16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1" t="s">
        <v>5</v>
      </c>
      <c r="S3" s="11"/>
      <c r="T3" s="11"/>
      <c r="U3" s="4">
        <v>43282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8" t="s">
        <v>13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 t="s">
        <v>25</v>
      </c>
      <c r="I10" s="43"/>
      <c r="J10" s="43" t="s">
        <v>26</v>
      </c>
      <c r="K10" s="43"/>
      <c r="L10" s="44" t="s">
        <v>27</v>
      </c>
      <c r="M10" s="44"/>
      <c r="N10" s="44" t="s">
        <v>28</v>
      </c>
      <c r="O10" s="44"/>
      <c r="P10" s="44"/>
      <c r="Q10" s="44"/>
      <c r="R10" s="44"/>
      <c r="S10" s="45" t="s">
        <v>29</v>
      </c>
      <c r="T10" s="45"/>
      <c r="U10" s="45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65027301.85</f>
        <v>65027301.85</v>
      </c>
      <c r="M12" s="36"/>
      <c r="N12" s="36">
        <f>26414372.63</f>
        <v>26414372.63</v>
      </c>
      <c r="O12" s="36"/>
      <c r="P12" s="36"/>
      <c r="Q12" s="36"/>
      <c r="R12" s="36"/>
      <c r="S12" s="53">
        <f>38612929.22</f>
        <v>38612929.22</v>
      </c>
      <c r="T12" s="53"/>
      <c r="U12" s="53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5">
        <f>655000</f>
        <v>655000</v>
      </c>
      <c r="M13" s="55"/>
      <c r="N13" s="55">
        <f>434007.02</f>
        <v>434007.02</v>
      </c>
      <c r="O13" s="55"/>
      <c r="P13" s="55"/>
      <c r="Q13" s="55"/>
      <c r="R13" s="55"/>
      <c r="S13" s="56">
        <f>220992.98</f>
        <v>220992.98</v>
      </c>
      <c r="T13" s="56"/>
      <c r="U13" s="56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5">
        <f>49230</f>
        <v>49230</v>
      </c>
      <c r="M14" s="55"/>
      <c r="N14" s="55">
        <f>8226.15</f>
        <v>8226.15</v>
      </c>
      <c r="O14" s="55"/>
      <c r="P14" s="55"/>
      <c r="Q14" s="55"/>
      <c r="R14" s="55"/>
      <c r="S14" s="56">
        <f>41003.85</f>
        <v>41003.85</v>
      </c>
      <c r="T14" s="56"/>
      <c r="U14" s="56"/>
    </row>
    <row r="15" spans="1:21" s="1" customFormat="1" ht="45" customHeight="1">
      <c r="A15" s="25" t="s">
        <v>43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44</v>
      </c>
      <c r="K15" s="27"/>
      <c r="L15" s="55">
        <f>1931733.45</f>
        <v>1931733.45</v>
      </c>
      <c r="M15" s="55"/>
      <c r="N15" s="55">
        <f>1079644.92</f>
        <v>1079644.92</v>
      </c>
      <c r="O15" s="55"/>
      <c r="P15" s="55"/>
      <c r="Q15" s="55"/>
      <c r="R15" s="55"/>
      <c r="S15" s="56">
        <f>852088.53</f>
        <v>852088.53</v>
      </c>
      <c r="T15" s="56"/>
      <c r="U15" s="56"/>
    </row>
    <row r="16" spans="1:21" s="1" customFormat="1" ht="54.75" customHeight="1">
      <c r="A16" s="25" t="s">
        <v>45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46</v>
      </c>
      <c r="K16" s="27"/>
      <c r="L16" s="55">
        <f>13919.74</f>
        <v>13919.74</v>
      </c>
      <c r="M16" s="55"/>
      <c r="N16" s="55">
        <f>8184.59</f>
        <v>8184.59</v>
      </c>
      <c r="O16" s="55"/>
      <c r="P16" s="55"/>
      <c r="Q16" s="55"/>
      <c r="R16" s="55"/>
      <c r="S16" s="56">
        <f>5735.15</f>
        <v>5735.15</v>
      </c>
      <c r="T16" s="56"/>
      <c r="U16" s="56"/>
    </row>
    <row r="17" spans="1:21" s="1" customFormat="1" ht="45" customHeight="1">
      <c r="A17" s="25" t="s">
        <v>47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48</v>
      </c>
      <c r="K17" s="27"/>
      <c r="L17" s="55">
        <f>3533882.84</f>
        <v>3533882.84</v>
      </c>
      <c r="M17" s="55"/>
      <c r="N17" s="55">
        <f>1627715.69</f>
        <v>1627715.69</v>
      </c>
      <c r="O17" s="55"/>
      <c r="P17" s="55"/>
      <c r="Q17" s="55"/>
      <c r="R17" s="55"/>
      <c r="S17" s="56">
        <f>1906167.15</f>
        <v>1906167.15</v>
      </c>
      <c r="T17" s="56"/>
      <c r="U17" s="56"/>
    </row>
    <row r="18" spans="1:21" s="1" customFormat="1" ht="45" customHeight="1">
      <c r="A18" s="25" t="s">
        <v>49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50</v>
      </c>
      <c r="K18" s="27"/>
      <c r="L18" s="55">
        <f>-373181.97</f>
        <v>-373181.97</v>
      </c>
      <c r="M18" s="55"/>
      <c r="N18" s="55">
        <f>-224318.1</f>
        <v>-224318.1</v>
      </c>
      <c r="O18" s="55"/>
      <c r="P18" s="55"/>
      <c r="Q18" s="55"/>
      <c r="R18" s="55"/>
      <c r="S18" s="56">
        <f>-148863.87</f>
        <v>-148863.87</v>
      </c>
      <c r="T18" s="56"/>
      <c r="U18" s="56"/>
    </row>
    <row r="19" spans="1:21" s="1" customFormat="1" ht="45" customHeight="1">
      <c r="A19" s="25" t="s">
        <v>51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52</v>
      </c>
      <c r="K19" s="27"/>
      <c r="L19" s="55">
        <f>4729000</f>
        <v>4729000</v>
      </c>
      <c r="M19" s="55"/>
      <c r="N19" s="55">
        <f>2950563.79</f>
        <v>2950563.79</v>
      </c>
      <c r="O19" s="55"/>
      <c r="P19" s="55"/>
      <c r="Q19" s="55"/>
      <c r="R19" s="55"/>
      <c r="S19" s="56">
        <f>1778436.21</f>
        <v>1778436.21</v>
      </c>
      <c r="T19" s="56"/>
      <c r="U19" s="56"/>
    </row>
    <row r="20" spans="1:21" s="1" customFormat="1" ht="66" customHeight="1">
      <c r="A20" s="25" t="s">
        <v>53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54</v>
      </c>
      <c r="K20" s="27"/>
      <c r="L20" s="55">
        <f>1000</f>
        <v>1000</v>
      </c>
      <c r="M20" s="55"/>
      <c r="N20" s="55">
        <f>100</f>
        <v>100</v>
      </c>
      <c r="O20" s="55"/>
      <c r="P20" s="55"/>
      <c r="Q20" s="55"/>
      <c r="R20" s="55"/>
      <c r="S20" s="56">
        <f>900</f>
        <v>900</v>
      </c>
      <c r="T20" s="56"/>
      <c r="U20" s="56"/>
    </row>
    <row r="21" spans="1:21" s="1" customFormat="1" ht="24" customHeight="1">
      <c r="A21" s="25" t="s">
        <v>55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56</v>
      </c>
      <c r="K21" s="27"/>
      <c r="L21" s="55">
        <f>270000</f>
        <v>270000</v>
      </c>
      <c r="M21" s="55"/>
      <c r="N21" s="55">
        <f>288</f>
        <v>288</v>
      </c>
      <c r="O21" s="55"/>
      <c r="P21" s="55"/>
      <c r="Q21" s="55"/>
      <c r="R21" s="55"/>
      <c r="S21" s="56">
        <f>269712</f>
        <v>269712</v>
      </c>
      <c r="T21" s="56"/>
      <c r="U21" s="56"/>
    </row>
    <row r="22" spans="1:21" s="1" customFormat="1" ht="13.5" customHeight="1">
      <c r="A22" s="25" t="s">
        <v>57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58</v>
      </c>
      <c r="K22" s="27"/>
      <c r="L22" s="55">
        <f>812000</f>
        <v>812000</v>
      </c>
      <c r="M22" s="55"/>
      <c r="N22" s="55">
        <f>434369.62</f>
        <v>434369.62</v>
      </c>
      <c r="O22" s="55"/>
      <c r="P22" s="55"/>
      <c r="Q22" s="55"/>
      <c r="R22" s="55"/>
      <c r="S22" s="56">
        <f>377630.38</f>
        <v>377630.38</v>
      </c>
      <c r="T22" s="56"/>
      <c r="U22" s="56"/>
    </row>
    <row r="23" spans="1:21" s="1" customFormat="1" ht="13.5" customHeight="1">
      <c r="A23" s="25" t="s">
        <v>59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60</v>
      </c>
      <c r="K23" s="27"/>
      <c r="L23" s="55">
        <f>50000</f>
        <v>50000</v>
      </c>
      <c r="M23" s="55"/>
      <c r="N23" s="55">
        <f>39260.89</f>
        <v>39260.89</v>
      </c>
      <c r="O23" s="55"/>
      <c r="P23" s="55"/>
      <c r="Q23" s="55"/>
      <c r="R23" s="55"/>
      <c r="S23" s="56">
        <f>10739.11</f>
        <v>10739.11</v>
      </c>
      <c r="T23" s="56"/>
      <c r="U23" s="56"/>
    </row>
    <row r="24" spans="1:21" s="1" customFormat="1" ht="24" customHeight="1">
      <c r="A24" s="25" t="s">
        <v>61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62</v>
      </c>
      <c r="K24" s="27"/>
      <c r="L24" s="55">
        <f>0</f>
        <v>0</v>
      </c>
      <c r="M24" s="55"/>
      <c r="N24" s="55">
        <f>-350327.68</f>
        <v>-350327.68</v>
      </c>
      <c r="O24" s="55"/>
      <c r="P24" s="55"/>
      <c r="Q24" s="55"/>
      <c r="R24" s="55"/>
      <c r="S24" s="57" t="s">
        <v>63</v>
      </c>
      <c r="T24" s="57"/>
      <c r="U24" s="57"/>
    </row>
    <row r="25" spans="1:21" s="1" customFormat="1" ht="24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5">
        <f>588000</f>
        <v>588000</v>
      </c>
      <c r="M25" s="55"/>
      <c r="N25" s="55">
        <f>337092.23</f>
        <v>337092.23</v>
      </c>
      <c r="O25" s="55"/>
      <c r="P25" s="55"/>
      <c r="Q25" s="55"/>
      <c r="R25" s="55"/>
      <c r="S25" s="56">
        <f>250907.77</f>
        <v>250907.77</v>
      </c>
      <c r="T25" s="56"/>
      <c r="U25" s="56"/>
    </row>
    <row r="26" spans="1:21" s="1" customFormat="1" ht="24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5">
        <f>150000</f>
        <v>150000</v>
      </c>
      <c r="M26" s="55"/>
      <c r="N26" s="55">
        <f>22350.02</f>
        <v>22350.02</v>
      </c>
      <c r="O26" s="55"/>
      <c r="P26" s="55"/>
      <c r="Q26" s="55"/>
      <c r="R26" s="55"/>
      <c r="S26" s="56">
        <f>127649.98</f>
        <v>127649.98</v>
      </c>
      <c r="T26" s="56"/>
      <c r="U26" s="56"/>
    </row>
    <row r="27" spans="1:21" s="1" customFormat="1" ht="45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5">
        <f>0</f>
        <v>0</v>
      </c>
      <c r="M27" s="55"/>
      <c r="N27" s="55">
        <f>-275</f>
        <v>-275</v>
      </c>
      <c r="O27" s="55"/>
      <c r="P27" s="55"/>
      <c r="Q27" s="55"/>
      <c r="R27" s="55"/>
      <c r="S27" s="57" t="s">
        <v>63</v>
      </c>
      <c r="T27" s="57"/>
      <c r="U27" s="57"/>
    </row>
    <row r="28" spans="1:21" s="1" customFormat="1" ht="33.75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5">
        <f>110000</f>
        <v>110000</v>
      </c>
      <c r="M28" s="55"/>
      <c r="N28" s="55">
        <f>110500</f>
        <v>110500</v>
      </c>
      <c r="O28" s="55"/>
      <c r="P28" s="55"/>
      <c r="Q28" s="55"/>
      <c r="R28" s="55"/>
      <c r="S28" s="57" t="s">
        <v>63</v>
      </c>
      <c r="T28" s="57"/>
      <c r="U28" s="57"/>
    </row>
    <row r="29" spans="1:21" s="1" customFormat="1" ht="24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5">
        <f>1307500</f>
        <v>1307500</v>
      </c>
      <c r="M29" s="55"/>
      <c r="N29" s="55">
        <f>453865.56</f>
        <v>453865.56</v>
      </c>
      <c r="O29" s="55"/>
      <c r="P29" s="55"/>
      <c r="Q29" s="55"/>
      <c r="R29" s="55"/>
      <c r="S29" s="56">
        <f>853634.44</f>
        <v>853634.44</v>
      </c>
      <c r="T29" s="56"/>
      <c r="U29" s="56"/>
    </row>
    <row r="30" spans="1:21" s="1" customFormat="1" ht="4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5">
        <f>867000</f>
        <v>867000</v>
      </c>
      <c r="M30" s="55"/>
      <c r="N30" s="55">
        <f>461371.12</f>
        <v>461371.12</v>
      </c>
      <c r="O30" s="55"/>
      <c r="P30" s="55"/>
      <c r="Q30" s="55"/>
      <c r="R30" s="55"/>
      <c r="S30" s="56">
        <f>405628.88</f>
        <v>405628.88</v>
      </c>
      <c r="T30" s="56"/>
      <c r="U30" s="56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5">
        <f>300000</f>
        <v>300000</v>
      </c>
      <c r="M31" s="55"/>
      <c r="N31" s="55">
        <f>85500</f>
        <v>85500</v>
      </c>
      <c r="O31" s="55"/>
      <c r="P31" s="55"/>
      <c r="Q31" s="55"/>
      <c r="R31" s="55"/>
      <c r="S31" s="56">
        <f>214500</f>
        <v>214500</v>
      </c>
      <c r="T31" s="56"/>
      <c r="U31" s="56"/>
    </row>
    <row r="32" spans="1:21" s="1" customFormat="1" ht="13.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5">
        <f>170000</f>
        <v>170000</v>
      </c>
      <c r="M32" s="55"/>
      <c r="N32" s="55">
        <f>82305.35</f>
        <v>82305.35</v>
      </c>
      <c r="O32" s="55"/>
      <c r="P32" s="55"/>
      <c r="Q32" s="55"/>
      <c r="R32" s="55"/>
      <c r="S32" s="56">
        <f>87694.65</f>
        <v>87694.65</v>
      </c>
      <c r="T32" s="56"/>
      <c r="U32" s="56"/>
    </row>
    <row r="33" spans="1:21" s="1" customFormat="1" ht="33.75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5">
        <f>26770</f>
        <v>26770</v>
      </c>
      <c r="M33" s="55"/>
      <c r="N33" s="55">
        <f>26770</f>
        <v>26770</v>
      </c>
      <c r="O33" s="55"/>
      <c r="P33" s="55"/>
      <c r="Q33" s="55"/>
      <c r="R33" s="55"/>
      <c r="S33" s="56">
        <f>0</f>
        <v>0</v>
      </c>
      <c r="T33" s="56"/>
      <c r="U33" s="56"/>
    </row>
    <row r="34" spans="1:21" s="1" customFormat="1" ht="24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5">
        <f>27518600</f>
        <v>27518600</v>
      </c>
      <c r="M34" s="55"/>
      <c r="N34" s="55">
        <f>13506118.2</f>
        <v>13506118.2</v>
      </c>
      <c r="O34" s="55"/>
      <c r="P34" s="55"/>
      <c r="Q34" s="55"/>
      <c r="R34" s="55"/>
      <c r="S34" s="56">
        <f>14012481.8</f>
        <v>14012481.8</v>
      </c>
      <c r="T34" s="56"/>
      <c r="U34" s="56"/>
    </row>
    <row r="35" spans="1:21" s="1" customFormat="1" ht="24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5">
        <f>150000</f>
        <v>150000</v>
      </c>
      <c r="M35" s="55"/>
      <c r="N35" s="55">
        <f>150000</f>
        <v>150000</v>
      </c>
      <c r="O35" s="55"/>
      <c r="P35" s="55"/>
      <c r="Q35" s="55"/>
      <c r="R35" s="55"/>
      <c r="S35" s="56">
        <f>0</f>
        <v>0</v>
      </c>
      <c r="T35" s="56"/>
      <c r="U35" s="56"/>
    </row>
    <row r="36" spans="1:21" s="1" customFormat="1" ht="13.5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5">
        <f>50000</f>
        <v>50000</v>
      </c>
      <c r="M36" s="55"/>
      <c r="N36" s="55">
        <f>50000</f>
        <v>50000</v>
      </c>
      <c r="O36" s="55"/>
      <c r="P36" s="55"/>
      <c r="Q36" s="55"/>
      <c r="R36" s="55"/>
      <c r="S36" s="56">
        <f>0</f>
        <v>0</v>
      </c>
      <c r="T36" s="56"/>
      <c r="U36" s="56"/>
    </row>
    <row r="37" spans="1:21" s="1" customFormat="1" ht="24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5">
        <f>393800</f>
        <v>393800</v>
      </c>
      <c r="M37" s="55"/>
      <c r="N37" s="55">
        <f>186000</f>
        <v>186000</v>
      </c>
      <c r="O37" s="55"/>
      <c r="P37" s="55"/>
      <c r="Q37" s="55"/>
      <c r="R37" s="55"/>
      <c r="S37" s="56">
        <f>207800</f>
        <v>207800</v>
      </c>
      <c r="T37" s="56"/>
      <c r="U37" s="56"/>
    </row>
    <row r="38" spans="1:21" s="1" customFormat="1" ht="24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5">
        <f>100060</f>
        <v>100060</v>
      </c>
      <c r="M38" s="55"/>
      <c r="N38" s="55">
        <f>48990</f>
        <v>48990</v>
      </c>
      <c r="O38" s="55"/>
      <c r="P38" s="55"/>
      <c r="Q38" s="55"/>
      <c r="R38" s="55"/>
      <c r="S38" s="56">
        <f>51070</f>
        <v>51070</v>
      </c>
      <c r="T38" s="56"/>
      <c r="U38" s="56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5">
        <f>21622987.79</f>
        <v>21622987.79</v>
      </c>
      <c r="M39" s="55"/>
      <c r="N39" s="55">
        <f>4886070.26</f>
        <v>4886070.26</v>
      </c>
      <c r="O39" s="55"/>
      <c r="P39" s="55"/>
      <c r="Q39" s="55"/>
      <c r="R39" s="55"/>
      <c r="S39" s="56">
        <f>16736917.53</f>
        <v>16736917.53</v>
      </c>
      <c r="T39" s="56"/>
      <c r="U39" s="56"/>
    </row>
    <row r="40" spans="1:21" s="1" customFormat="1" ht="13.5" customHeight="1">
      <c r="A40" s="54" t="s">
        <v>18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s="1" customFormat="1" ht="13.5" customHeight="1">
      <c r="A41" s="42" t="s">
        <v>94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1" customFormat="1" ht="34.5" customHeight="1">
      <c r="A42" s="43" t="s">
        <v>24</v>
      </c>
      <c r="B42" s="43"/>
      <c r="C42" s="43"/>
      <c r="D42" s="43"/>
      <c r="E42" s="43"/>
      <c r="F42" s="43"/>
      <c r="G42" s="43" t="s">
        <v>25</v>
      </c>
      <c r="H42" s="43"/>
      <c r="I42" s="43" t="s">
        <v>95</v>
      </c>
      <c r="J42" s="43"/>
      <c r="K42" s="44" t="s">
        <v>96</v>
      </c>
      <c r="L42" s="44"/>
      <c r="M42" s="44" t="s">
        <v>27</v>
      </c>
      <c r="N42" s="44"/>
      <c r="O42" s="44" t="s">
        <v>28</v>
      </c>
      <c r="P42" s="44"/>
      <c r="Q42" s="44"/>
      <c r="R42" s="44"/>
      <c r="S42" s="44"/>
      <c r="T42" s="45" t="s">
        <v>29</v>
      </c>
      <c r="U42" s="45"/>
    </row>
    <row r="43" spans="1:21" s="1" customFormat="1" ht="13.5" customHeight="1">
      <c r="A43" s="38" t="s">
        <v>30</v>
      </c>
      <c r="B43" s="38"/>
      <c r="C43" s="38"/>
      <c r="D43" s="38"/>
      <c r="E43" s="38"/>
      <c r="F43" s="38"/>
      <c r="G43" s="38" t="s">
        <v>31</v>
      </c>
      <c r="H43" s="38"/>
      <c r="I43" s="38" t="s">
        <v>32</v>
      </c>
      <c r="J43" s="38"/>
      <c r="K43" s="39" t="s">
        <v>33</v>
      </c>
      <c r="L43" s="39"/>
      <c r="M43" s="39" t="s">
        <v>34</v>
      </c>
      <c r="N43" s="39"/>
      <c r="O43" s="39" t="s">
        <v>35</v>
      </c>
      <c r="P43" s="39"/>
      <c r="Q43" s="39"/>
      <c r="R43" s="39"/>
      <c r="S43" s="39"/>
      <c r="T43" s="40" t="s">
        <v>97</v>
      </c>
      <c r="U43" s="40"/>
    </row>
    <row r="44" spans="1:21" s="1" customFormat="1" ht="13.5" customHeight="1">
      <c r="A44" s="33" t="s">
        <v>98</v>
      </c>
      <c r="B44" s="33"/>
      <c r="C44" s="33"/>
      <c r="D44" s="33"/>
      <c r="E44" s="33"/>
      <c r="F44" s="33"/>
      <c r="G44" s="34" t="s">
        <v>99</v>
      </c>
      <c r="H44" s="34"/>
      <c r="I44" s="34" t="s">
        <v>38</v>
      </c>
      <c r="J44" s="34"/>
      <c r="K44" s="52" t="s">
        <v>38</v>
      </c>
      <c r="L44" s="52"/>
      <c r="M44" s="36">
        <f>69911500.45</f>
        <v>69911500.45</v>
      </c>
      <c r="N44" s="36"/>
      <c r="O44" s="36">
        <f>23158469.99</f>
        <v>23158469.99</v>
      </c>
      <c r="P44" s="36"/>
      <c r="Q44" s="36"/>
      <c r="R44" s="36"/>
      <c r="S44" s="36"/>
      <c r="T44" s="53">
        <f>46753030.46</f>
        <v>46753030.46</v>
      </c>
      <c r="U44" s="53"/>
    </row>
    <row r="45" spans="1:21" s="1" customFormat="1" ht="13.5" customHeight="1">
      <c r="A45" s="12" t="s">
        <v>100</v>
      </c>
      <c r="B45" s="12"/>
      <c r="C45" s="12"/>
      <c r="D45" s="12"/>
      <c r="E45" s="12"/>
      <c r="F45" s="12"/>
      <c r="G45" s="13" t="s">
        <v>99</v>
      </c>
      <c r="H45" s="13"/>
      <c r="I45" s="13" t="s">
        <v>101</v>
      </c>
      <c r="J45" s="13"/>
      <c r="K45" s="21" t="s">
        <v>102</v>
      </c>
      <c r="L45" s="21"/>
      <c r="M45" s="15">
        <f>1419400</f>
        <v>1419400</v>
      </c>
      <c r="N45" s="15"/>
      <c r="O45" s="15">
        <f>491211.7</f>
        <v>491211.7</v>
      </c>
      <c r="P45" s="15"/>
      <c r="Q45" s="15"/>
      <c r="R45" s="15"/>
      <c r="S45" s="15"/>
      <c r="T45" s="50">
        <f>928188.3</f>
        <v>928188.3</v>
      </c>
      <c r="U45" s="50"/>
    </row>
    <row r="46" spans="1:21" s="1" customFormat="1" ht="13.5" customHeight="1">
      <c r="A46" s="12" t="s">
        <v>103</v>
      </c>
      <c r="B46" s="12"/>
      <c r="C46" s="12"/>
      <c r="D46" s="12"/>
      <c r="E46" s="12"/>
      <c r="F46" s="12"/>
      <c r="G46" s="13" t="s">
        <v>99</v>
      </c>
      <c r="H46" s="13"/>
      <c r="I46" s="13" t="s">
        <v>104</v>
      </c>
      <c r="J46" s="13"/>
      <c r="K46" s="21" t="s">
        <v>105</v>
      </c>
      <c r="L46" s="21"/>
      <c r="M46" s="15">
        <f>428700</f>
        <v>428700</v>
      </c>
      <c r="N46" s="15"/>
      <c r="O46" s="15">
        <f>140646.46</f>
        <v>140646.46</v>
      </c>
      <c r="P46" s="15"/>
      <c r="Q46" s="15"/>
      <c r="R46" s="15"/>
      <c r="S46" s="15"/>
      <c r="T46" s="50">
        <f>288053.54</f>
        <v>288053.54</v>
      </c>
      <c r="U46" s="50"/>
    </row>
    <row r="47" spans="1:21" s="1" customFormat="1" ht="13.5" customHeight="1">
      <c r="A47" s="12" t="s">
        <v>100</v>
      </c>
      <c r="B47" s="12"/>
      <c r="C47" s="12"/>
      <c r="D47" s="12"/>
      <c r="E47" s="12"/>
      <c r="F47" s="12"/>
      <c r="G47" s="13" t="s">
        <v>99</v>
      </c>
      <c r="H47" s="13"/>
      <c r="I47" s="13" t="s">
        <v>106</v>
      </c>
      <c r="J47" s="13"/>
      <c r="K47" s="21" t="s">
        <v>102</v>
      </c>
      <c r="L47" s="21"/>
      <c r="M47" s="15">
        <f>8451000</f>
        <v>8451000</v>
      </c>
      <c r="N47" s="15"/>
      <c r="O47" s="15">
        <f>4395970.58</f>
        <v>4395970.58</v>
      </c>
      <c r="P47" s="15"/>
      <c r="Q47" s="15"/>
      <c r="R47" s="15"/>
      <c r="S47" s="15"/>
      <c r="T47" s="50">
        <f>4055029.42</f>
        <v>4055029.42</v>
      </c>
      <c r="U47" s="50"/>
    </row>
    <row r="48" spans="1:21" s="1" customFormat="1" ht="13.5" customHeight="1">
      <c r="A48" s="12" t="s">
        <v>107</v>
      </c>
      <c r="B48" s="12"/>
      <c r="C48" s="12"/>
      <c r="D48" s="12"/>
      <c r="E48" s="12"/>
      <c r="F48" s="12"/>
      <c r="G48" s="13" t="s">
        <v>99</v>
      </c>
      <c r="H48" s="13"/>
      <c r="I48" s="13" t="s">
        <v>108</v>
      </c>
      <c r="J48" s="13"/>
      <c r="K48" s="21" t="s">
        <v>109</v>
      </c>
      <c r="L48" s="21"/>
      <c r="M48" s="15">
        <f>304000</f>
        <v>304000</v>
      </c>
      <c r="N48" s="15"/>
      <c r="O48" s="15">
        <f>13552</f>
        <v>13552</v>
      </c>
      <c r="P48" s="15"/>
      <c r="Q48" s="15"/>
      <c r="R48" s="15"/>
      <c r="S48" s="15"/>
      <c r="T48" s="50">
        <f>290448</f>
        <v>290448</v>
      </c>
      <c r="U48" s="50"/>
    </row>
    <row r="49" spans="1:21" s="1" customFormat="1" ht="13.5" customHeight="1">
      <c r="A49" s="12" t="s">
        <v>103</v>
      </c>
      <c r="B49" s="12"/>
      <c r="C49" s="12"/>
      <c r="D49" s="12"/>
      <c r="E49" s="12"/>
      <c r="F49" s="12"/>
      <c r="G49" s="13" t="s">
        <v>99</v>
      </c>
      <c r="H49" s="13"/>
      <c r="I49" s="13" t="s">
        <v>110</v>
      </c>
      <c r="J49" s="13"/>
      <c r="K49" s="21" t="s">
        <v>105</v>
      </c>
      <c r="L49" s="21"/>
      <c r="M49" s="15">
        <f>2550000</f>
        <v>2550000</v>
      </c>
      <c r="N49" s="15"/>
      <c r="O49" s="15">
        <f>1010551.91</f>
        <v>1010551.91</v>
      </c>
      <c r="P49" s="15"/>
      <c r="Q49" s="15"/>
      <c r="R49" s="15"/>
      <c r="S49" s="15"/>
      <c r="T49" s="50">
        <f>1539448.09</f>
        <v>1539448.09</v>
      </c>
      <c r="U49" s="50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99</v>
      </c>
      <c r="H50" s="13"/>
      <c r="I50" s="13" t="s">
        <v>112</v>
      </c>
      <c r="J50" s="13"/>
      <c r="K50" s="21" t="s">
        <v>113</v>
      </c>
      <c r="L50" s="21"/>
      <c r="M50" s="15">
        <f>144327</f>
        <v>144327</v>
      </c>
      <c r="N50" s="15"/>
      <c r="O50" s="15">
        <f>72163.48</f>
        <v>72163.48</v>
      </c>
      <c r="P50" s="15"/>
      <c r="Q50" s="15"/>
      <c r="R50" s="15"/>
      <c r="S50" s="15"/>
      <c r="T50" s="50">
        <f>72163.52</f>
        <v>72163.52</v>
      </c>
      <c r="U50" s="50"/>
    </row>
    <row r="51" spans="1:21" s="1" customFormat="1" ht="13.5" customHeight="1">
      <c r="A51" s="12" t="s">
        <v>114</v>
      </c>
      <c r="B51" s="12"/>
      <c r="C51" s="12"/>
      <c r="D51" s="12"/>
      <c r="E51" s="12"/>
      <c r="F51" s="12"/>
      <c r="G51" s="13" t="s">
        <v>99</v>
      </c>
      <c r="H51" s="13"/>
      <c r="I51" s="13" t="s">
        <v>115</v>
      </c>
      <c r="J51" s="13"/>
      <c r="K51" s="21" t="s">
        <v>116</v>
      </c>
      <c r="L51" s="21"/>
      <c r="M51" s="15">
        <f>271369</f>
        <v>271369</v>
      </c>
      <c r="N51" s="15"/>
      <c r="O51" s="19" t="s">
        <v>63</v>
      </c>
      <c r="P51" s="19"/>
      <c r="Q51" s="19"/>
      <c r="R51" s="19"/>
      <c r="S51" s="19"/>
      <c r="T51" s="50">
        <f>271369</f>
        <v>271369</v>
      </c>
      <c r="U51" s="50"/>
    </row>
    <row r="52" spans="1:21" s="1" customFormat="1" ht="13.5" customHeight="1">
      <c r="A52" s="12" t="s">
        <v>114</v>
      </c>
      <c r="B52" s="12"/>
      <c r="C52" s="12"/>
      <c r="D52" s="12"/>
      <c r="E52" s="12"/>
      <c r="F52" s="12"/>
      <c r="G52" s="13" t="s">
        <v>99</v>
      </c>
      <c r="H52" s="13"/>
      <c r="I52" s="13" t="s">
        <v>117</v>
      </c>
      <c r="J52" s="13"/>
      <c r="K52" s="21" t="s">
        <v>116</v>
      </c>
      <c r="L52" s="21"/>
      <c r="M52" s="15">
        <f>200000</f>
        <v>200000</v>
      </c>
      <c r="N52" s="15"/>
      <c r="O52" s="19" t="s">
        <v>63</v>
      </c>
      <c r="P52" s="19"/>
      <c r="Q52" s="19"/>
      <c r="R52" s="19"/>
      <c r="S52" s="19"/>
      <c r="T52" s="50">
        <f>200000</f>
        <v>200000</v>
      </c>
      <c r="U52" s="50"/>
    </row>
    <row r="53" spans="1:21" s="1" customFormat="1" ht="13.5" customHeight="1">
      <c r="A53" s="12" t="s">
        <v>118</v>
      </c>
      <c r="B53" s="12"/>
      <c r="C53" s="12"/>
      <c r="D53" s="12"/>
      <c r="E53" s="12"/>
      <c r="F53" s="12"/>
      <c r="G53" s="13" t="s">
        <v>99</v>
      </c>
      <c r="H53" s="13"/>
      <c r="I53" s="13" t="s">
        <v>119</v>
      </c>
      <c r="J53" s="13"/>
      <c r="K53" s="21" t="s">
        <v>120</v>
      </c>
      <c r="L53" s="21"/>
      <c r="M53" s="15">
        <f>50000</f>
        <v>50000</v>
      </c>
      <c r="N53" s="15"/>
      <c r="O53" s="19" t="s">
        <v>63</v>
      </c>
      <c r="P53" s="19"/>
      <c r="Q53" s="19"/>
      <c r="R53" s="19"/>
      <c r="S53" s="19"/>
      <c r="T53" s="50">
        <f>50000</f>
        <v>50000</v>
      </c>
      <c r="U53" s="50"/>
    </row>
    <row r="54" spans="1:21" s="1" customFormat="1" ht="13.5" customHeight="1">
      <c r="A54" s="12" t="s">
        <v>121</v>
      </c>
      <c r="B54" s="12"/>
      <c r="C54" s="12"/>
      <c r="D54" s="12"/>
      <c r="E54" s="12"/>
      <c r="F54" s="12"/>
      <c r="G54" s="13" t="s">
        <v>99</v>
      </c>
      <c r="H54" s="13"/>
      <c r="I54" s="13" t="s">
        <v>122</v>
      </c>
      <c r="J54" s="13"/>
      <c r="K54" s="21" t="s">
        <v>123</v>
      </c>
      <c r="L54" s="21"/>
      <c r="M54" s="15">
        <f>25000</f>
        <v>25000</v>
      </c>
      <c r="N54" s="15"/>
      <c r="O54" s="15">
        <f>9980.04</f>
        <v>9980.04</v>
      </c>
      <c r="P54" s="15"/>
      <c r="Q54" s="15"/>
      <c r="R54" s="15"/>
      <c r="S54" s="15"/>
      <c r="T54" s="50">
        <f>15019.96</f>
        <v>15019.96</v>
      </c>
      <c r="U54" s="50"/>
    </row>
    <row r="55" spans="1:21" s="1" customFormat="1" ht="13.5" customHeight="1">
      <c r="A55" s="12" t="s">
        <v>124</v>
      </c>
      <c r="B55" s="12"/>
      <c r="C55" s="12"/>
      <c r="D55" s="12"/>
      <c r="E55" s="12"/>
      <c r="F55" s="12"/>
      <c r="G55" s="13" t="s">
        <v>99</v>
      </c>
      <c r="H55" s="13"/>
      <c r="I55" s="13" t="s">
        <v>122</v>
      </c>
      <c r="J55" s="13"/>
      <c r="K55" s="21" t="s">
        <v>125</v>
      </c>
      <c r="L55" s="21"/>
      <c r="M55" s="15">
        <f>1816775.06</f>
        <v>1816775.06</v>
      </c>
      <c r="N55" s="15"/>
      <c r="O55" s="15">
        <f>987702.34</f>
        <v>987702.34</v>
      </c>
      <c r="P55" s="15"/>
      <c r="Q55" s="15"/>
      <c r="R55" s="15"/>
      <c r="S55" s="15"/>
      <c r="T55" s="50">
        <f>829072.72</f>
        <v>829072.72</v>
      </c>
      <c r="U55" s="50"/>
    </row>
    <row r="56" spans="1:21" s="1" customFormat="1" ht="13.5" customHeight="1">
      <c r="A56" s="12" t="s">
        <v>126</v>
      </c>
      <c r="B56" s="12"/>
      <c r="C56" s="12"/>
      <c r="D56" s="12"/>
      <c r="E56" s="12"/>
      <c r="F56" s="12"/>
      <c r="G56" s="13" t="s">
        <v>99</v>
      </c>
      <c r="H56" s="13"/>
      <c r="I56" s="13" t="s">
        <v>122</v>
      </c>
      <c r="J56" s="13"/>
      <c r="K56" s="21" t="s">
        <v>127</v>
      </c>
      <c r="L56" s="21"/>
      <c r="M56" s="15">
        <f>120000</f>
        <v>120000</v>
      </c>
      <c r="N56" s="15"/>
      <c r="O56" s="15">
        <f>37519.5</f>
        <v>37519.5</v>
      </c>
      <c r="P56" s="15"/>
      <c r="Q56" s="15"/>
      <c r="R56" s="15"/>
      <c r="S56" s="15"/>
      <c r="T56" s="50">
        <f>82480.5</f>
        <v>82480.5</v>
      </c>
      <c r="U56" s="50"/>
    </row>
    <row r="57" spans="1:21" s="1" customFormat="1" ht="13.5" customHeight="1">
      <c r="A57" s="12" t="s">
        <v>118</v>
      </c>
      <c r="B57" s="12"/>
      <c r="C57" s="12"/>
      <c r="D57" s="12"/>
      <c r="E57" s="12"/>
      <c r="F57" s="12"/>
      <c r="G57" s="13" t="s">
        <v>99</v>
      </c>
      <c r="H57" s="13"/>
      <c r="I57" s="13" t="s">
        <v>122</v>
      </c>
      <c r="J57" s="13"/>
      <c r="K57" s="21" t="s">
        <v>120</v>
      </c>
      <c r="L57" s="21"/>
      <c r="M57" s="15">
        <f>65000</f>
        <v>65000</v>
      </c>
      <c r="N57" s="15"/>
      <c r="O57" s="15">
        <f>37660</f>
        <v>37660</v>
      </c>
      <c r="P57" s="15"/>
      <c r="Q57" s="15"/>
      <c r="R57" s="15"/>
      <c r="S57" s="15"/>
      <c r="T57" s="50">
        <f>27340</f>
        <v>27340</v>
      </c>
      <c r="U57" s="50"/>
    </row>
    <row r="58" spans="1:21" s="1" customFormat="1" ht="13.5" customHeight="1">
      <c r="A58" s="12" t="s">
        <v>128</v>
      </c>
      <c r="B58" s="12"/>
      <c r="C58" s="12"/>
      <c r="D58" s="12"/>
      <c r="E58" s="12"/>
      <c r="F58" s="12"/>
      <c r="G58" s="13" t="s">
        <v>99</v>
      </c>
      <c r="H58" s="13"/>
      <c r="I58" s="13" t="s">
        <v>122</v>
      </c>
      <c r="J58" s="13"/>
      <c r="K58" s="21" t="s">
        <v>129</v>
      </c>
      <c r="L58" s="21"/>
      <c r="M58" s="15">
        <f>100000</f>
        <v>100000</v>
      </c>
      <c r="N58" s="15"/>
      <c r="O58" s="19" t="s">
        <v>63</v>
      </c>
      <c r="P58" s="19"/>
      <c r="Q58" s="19"/>
      <c r="R58" s="19"/>
      <c r="S58" s="19"/>
      <c r="T58" s="50">
        <f>100000</f>
        <v>100000</v>
      </c>
      <c r="U58" s="50"/>
    </row>
    <row r="59" spans="1:21" s="1" customFormat="1" ht="13.5" customHeight="1">
      <c r="A59" s="12" t="s">
        <v>130</v>
      </c>
      <c r="B59" s="12"/>
      <c r="C59" s="12"/>
      <c r="D59" s="12"/>
      <c r="E59" s="12"/>
      <c r="F59" s="12"/>
      <c r="G59" s="13" t="s">
        <v>99</v>
      </c>
      <c r="H59" s="13"/>
      <c r="I59" s="13" t="s">
        <v>122</v>
      </c>
      <c r="J59" s="13"/>
      <c r="K59" s="21" t="s">
        <v>131</v>
      </c>
      <c r="L59" s="21"/>
      <c r="M59" s="15">
        <f>100000</f>
        <v>100000</v>
      </c>
      <c r="N59" s="15"/>
      <c r="O59" s="15">
        <f>93501</f>
        <v>93501</v>
      </c>
      <c r="P59" s="15"/>
      <c r="Q59" s="15"/>
      <c r="R59" s="15"/>
      <c r="S59" s="15"/>
      <c r="T59" s="50">
        <f>6499</f>
        <v>6499</v>
      </c>
      <c r="U59" s="50"/>
    </row>
    <row r="60" spans="1:21" s="1" customFormat="1" ht="13.5" customHeight="1">
      <c r="A60" s="12" t="s">
        <v>132</v>
      </c>
      <c r="B60" s="12"/>
      <c r="C60" s="12"/>
      <c r="D60" s="12"/>
      <c r="E60" s="12"/>
      <c r="F60" s="12"/>
      <c r="G60" s="13" t="s">
        <v>99</v>
      </c>
      <c r="H60" s="13"/>
      <c r="I60" s="13" t="s">
        <v>133</v>
      </c>
      <c r="J60" s="13"/>
      <c r="K60" s="21" t="s">
        <v>134</v>
      </c>
      <c r="L60" s="21"/>
      <c r="M60" s="15">
        <f>5000</f>
        <v>5000</v>
      </c>
      <c r="N60" s="15"/>
      <c r="O60" s="19" t="s">
        <v>63</v>
      </c>
      <c r="P60" s="19"/>
      <c r="Q60" s="19"/>
      <c r="R60" s="19"/>
      <c r="S60" s="19"/>
      <c r="T60" s="50">
        <f>5000</f>
        <v>5000</v>
      </c>
      <c r="U60" s="50"/>
    </row>
    <row r="61" spans="1:21" s="1" customFormat="1" ht="13.5" customHeight="1">
      <c r="A61" s="12" t="s">
        <v>132</v>
      </c>
      <c r="B61" s="12"/>
      <c r="C61" s="12"/>
      <c r="D61" s="12"/>
      <c r="E61" s="12"/>
      <c r="F61" s="12"/>
      <c r="G61" s="13" t="s">
        <v>99</v>
      </c>
      <c r="H61" s="13"/>
      <c r="I61" s="13" t="s">
        <v>135</v>
      </c>
      <c r="J61" s="13"/>
      <c r="K61" s="21" t="s">
        <v>134</v>
      </c>
      <c r="L61" s="21"/>
      <c r="M61" s="15">
        <f>85000</f>
        <v>85000</v>
      </c>
      <c r="N61" s="15"/>
      <c r="O61" s="15">
        <f>29570</f>
        <v>29570</v>
      </c>
      <c r="P61" s="15"/>
      <c r="Q61" s="15"/>
      <c r="R61" s="15"/>
      <c r="S61" s="15"/>
      <c r="T61" s="50">
        <f>55430</f>
        <v>55430</v>
      </c>
      <c r="U61" s="50"/>
    </row>
    <row r="62" spans="1:21" s="1" customFormat="1" ht="13.5" customHeight="1">
      <c r="A62" s="12" t="s">
        <v>100</v>
      </c>
      <c r="B62" s="12"/>
      <c r="C62" s="12"/>
      <c r="D62" s="12"/>
      <c r="E62" s="12"/>
      <c r="F62" s="12"/>
      <c r="G62" s="13" t="s">
        <v>99</v>
      </c>
      <c r="H62" s="13"/>
      <c r="I62" s="13" t="s">
        <v>136</v>
      </c>
      <c r="J62" s="13"/>
      <c r="K62" s="21" t="s">
        <v>102</v>
      </c>
      <c r="L62" s="21"/>
      <c r="M62" s="15">
        <f>4505000</f>
        <v>4505000</v>
      </c>
      <c r="N62" s="15"/>
      <c r="O62" s="15">
        <f>1940472.69</f>
        <v>1940472.69</v>
      </c>
      <c r="P62" s="15"/>
      <c r="Q62" s="15"/>
      <c r="R62" s="15"/>
      <c r="S62" s="15"/>
      <c r="T62" s="50">
        <f>2564527.31</f>
        <v>2564527.31</v>
      </c>
      <c r="U62" s="50"/>
    </row>
    <row r="63" spans="1:21" s="1" customFormat="1" ht="13.5" customHeight="1">
      <c r="A63" s="12" t="s">
        <v>107</v>
      </c>
      <c r="B63" s="12"/>
      <c r="C63" s="12"/>
      <c r="D63" s="12"/>
      <c r="E63" s="12"/>
      <c r="F63" s="12"/>
      <c r="G63" s="13" t="s">
        <v>99</v>
      </c>
      <c r="H63" s="13"/>
      <c r="I63" s="13" t="s">
        <v>137</v>
      </c>
      <c r="J63" s="13"/>
      <c r="K63" s="21" t="s">
        <v>109</v>
      </c>
      <c r="L63" s="21"/>
      <c r="M63" s="15">
        <f>108200</f>
        <v>108200</v>
      </c>
      <c r="N63" s="15"/>
      <c r="O63" s="15">
        <f>6019.5</f>
        <v>6019.5</v>
      </c>
      <c r="P63" s="15"/>
      <c r="Q63" s="15"/>
      <c r="R63" s="15"/>
      <c r="S63" s="15"/>
      <c r="T63" s="50">
        <f>102180.5</f>
        <v>102180.5</v>
      </c>
      <c r="U63" s="50"/>
    </row>
    <row r="64" spans="1:21" s="1" customFormat="1" ht="13.5" customHeight="1">
      <c r="A64" s="12" t="s">
        <v>103</v>
      </c>
      <c r="B64" s="12"/>
      <c r="C64" s="12"/>
      <c r="D64" s="12"/>
      <c r="E64" s="12"/>
      <c r="F64" s="12"/>
      <c r="G64" s="13" t="s">
        <v>99</v>
      </c>
      <c r="H64" s="13"/>
      <c r="I64" s="13" t="s">
        <v>138</v>
      </c>
      <c r="J64" s="13"/>
      <c r="K64" s="21" t="s">
        <v>105</v>
      </c>
      <c r="L64" s="21"/>
      <c r="M64" s="15">
        <f>1360000</f>
        <v>1360000</v>
      </c>
      <c r="N64" s="15"/>
      <c r="O64" s="15">
        <f>538214.03</f>
        <v>538214.03</v>
      </c>
      <c r="P64" s="15"/>
      <c r="Q64" s="15"/>
      <c r="R64" s="15"/>
      <c r="S64" s="15"/>
      <c r="T64" s="50">
        <f>821785.97</f>
        <v>821785.97</v>
      </c>
      <c r="U64" s="50"/>
    </row>
    <row r="65" spans="1:21" s="1" customFormat="1" ht="13.5" customHeight="1">
      <c r="A65" s="12" t="s">
        <v>121</v>
      </c>
      <c r="B65" s="12"/>
      <c r="C65" s="12"/>
      <c r="D65" s="12"/>
      <c r="E65" s="12"/>
      <c r="F65" s="12"/>
      <c r="G65" s="13" t="s">
        <v>99</v>
      </c>
      <c r="H65" s="13"/>
      <c r="I65" s="13" t="s">
        <v>139</v>
      </c>
      <c r="J65" s="13"/>
      <c r="K65" s="21" t="s">
        <v>123</v>
      </c>
      <c r="L65" s="21"/>
      <c r="M65" s="15">
        <f>12824.45</f>
        <v>12824.45</v>
      </c>
      <c r="N65" s="15"/>
      <c r="O65" s="15">
        <f>5145.27</f>
        <v>5145.27</v>
      </c>
      <c r="P65" s="15"/>
      <c r="Q65" s="15"/>
      <c r="R65" s="15"/>
      <c r="S65" s="15"/>
      <c r="T65" s="50">
        <f>7679.18</f>
        <v>7679.18</v>
      </c>
      <c r="U65" s="50"/>
    </row>
    <row r="66" spans="1:21" s="1" customFormat="1" ht="13.5" customHeight="1">
      <c r="A66" s="12" t="s">
        <v>126</v>
      </c>
      <c r="B66" s="12"/>
      <c r="C66" s="12"/>
      <c r="D66" s="12"/>
      <c r="E66" s="12"/>
      <c r="F66" s="12"/>
      <c r="G66" s="13" t="s">
        <v>99</v>
      </c>
      <c r="H66" s="13"/>
      <c r="I66" s="13" t="s">
        <v>140</v>
      </c>
      <c r="J66" s="13"/>
      <c r="K66" s="21" t="s">
        <v>127</v>
      </c>
      <c r="L66" s="21"/>
      <c r="M66" s="15">
        <f>5000</f>
        <v>5000</v>
      </c>
      <c r="N66" s="15"/>
      <c r="O66" s="19" t="s">
        <v>63</v>
      </c>
      <c r="P66" s="19"/>
      <c r="Q66" s="19"/>
      <c r="R66" s="19"/>
      <c r="S66" s="19"/>
      <c r="T66" s="50">
        <f>5000</f>
        <v>5000</v>
      </c>
      <c r="U66" s="50"/>
    </row>
    <row r="67" spans="1:21" s="1" customFormat="1" ht="13.5" customHeight="1">
      <c r="A67" s="12" t="s">
        <v>118</v>
      </c>
      <c r="B67" s="12"/>
      <c r="C67" s="12"/>
      <c r="D67" s="12"/>
      <c r="E67" s="12"/>
      <c r="F67" s="12"/>
      <c r="G67" s="13" t="s">
        <v>99</v>
      </c>
      <c r="H67" s="13"/>
      <c r="I67" s="13" t="s">
        <v>140</v>
      </c>
      <c r="J67" s="13"/>
      <c r="K67" s="21" t="s">
        <v>120</v>
      </c>
      <c r="L67" s="21"/>
      <c r="M67" s="15">
        <f>54500</f>
        <v>54500</v>
      </c>
      <c r="N67" s="15"/>
      <c r="O67" s="15">
        <f>18322.83</f>
        <v>18322.83</v>
      </c>
      <c r="P67" s="15"/>
      <c r="Q67" s="15"/>
      <c r="R67" s="15"/>
      <c r="S67" s="15"/>
      <c r="T67" s="50">
        <f>36177.17</f>
        <v>36177.17</v>
      </c>
      <c r="U67" s="50"/>
    </row>
    <row r="68" spans="1:21" s="1" customFormat="1" ht="13.5" customHeight="1">
      <c r="A68" s="12" t="s">
        <v>128</v>
      </c>
      <c r="B68" s="12"/>
      <c r="C68" s="12"/>
      <c r="D68" s="12"/>
      <c r="E68" s="12"/>
      <c r="F68" s="12"/>
      <c r="G68" s="13" t="s">
        <v>99</v>
      </c>
      <c r="H68" s="13"/>
      <c r="I68" s="13" t="s">
        <v>140</v>
      </c>
      <c r="J68" s="13"/>
      <c r="K68" s="21" t="s">
        <v>129</v>
      </c>
      <c r="L68" s="21"/>
      <c r="M68" s="15">
        <f>23700</f>
        <v>23700</v>
      </c>
      <c r="N68" s="15"/>
      <c r="O68" s="19" t="s">
        <v>63</v>
      </c>
      <c r="P68" s="19"/>
      <c r="Q68" s="19"/>
      <c r="R68" s="19"/>
      <c r="S68" s="19"/>
      <c r="T68" s="50">
        <f>23700</f>
        <v>23700</v>
      </c>
      <c r="U68" s="50"/>
    </row>
    <row r="69" spans="1:21" s="1" customFormat="1" ht="13.5" customHeight="1">
      <c r="A69" s="12" t="s">
        <v>130</v>
      </c>
      <c r="B69" s="12"/>
      <c r="C69" s="12"/>
      <c r="D69" s="12"/>
      <c r="E69" s="12"/>
      <c r="F69" s="12"/>
      <c r="G69" s="13" t="s">
        <v>99</v>
      </c>
      <c r="H69" s="13"/>
      <c r="I69" s="13" t="s">
        <v>140</v>
      </c>
      <c r="J69" s="13"/>
      <c r="K69" s="21" t="s">
        <v>131</v>
      </c>
      <c r="L69" s="21"/>
      <c r="M69" s="15">
        <f>526200</f>
        <v>526200</v>
      </c>
      <c r="N69" s="15"/>
      <c r="O69" s="15">
        <f>221242.56</f>
        <v>221242.56</v>
      </c>
      <c r="P69" s="15"/>
      <c r="Q69" s="15"/>
      <c r="R69" s="15"/>
      <c r="S69" s="15"/>
      <c r="T69" s="50">
        <f>304957.44</f>
        <v>304957.44</v>
      </c>
      <c r="U69" s="50"/>
    </row>
    <row r="70" spans="1:21" s="1" customFormat="1" ht="13.5" customHeight="1">
      <c r="A70" s="12" t="s">
        <v>132</v>
      </c>
      <c r="B70" s="12"/>
      <c r="C70" s="12"/>
      <c r="D70" s="12"/>
      <c r="E70" s="12"/>
      <c r="F70" s="12"/>
      <c r="G70" s="13" t="s">
        <v>99</v>
      </c>
      <c r="H70" s="13"/>
      <c r="I70" s="13" t="s">
        <v>141</v>
      </c>
      <c r="J70" s="13"/>
      <c r="K70" s="21" t="s">
        <v>134</v>
      </c>
      <c r="L70" s="21"/>
      <c r="M70" s="15">
        <f>3095.58</f>
        <v>3095.58</v>
      </c>
      <c r="N70" s="15"/>
      <c r="O70" s="15">
        <f>1451</f>
        <v>1451</v>
      </c>
      <c r="P70" s="15"/>
      <c r="Q70" s="15"/>
      <c r="R70" s="15"/>
      <c r="S70" s="15"/>
      <c r="T70" s="50">
        <f>1644.58</f>
        <v>1644.58</v>
      </c>
      <c r="U70" s="50"/>
    </row>
    <row r="71" spans="1:21" s="1" customFormat="1" ht="13.5" customHeight="1">
      <c r="A71" s="12" t="s">
        <v>132</v>
      </c>
      <c r="B71" s="12"/>
      <c r="C71" s="12"/>
      <c r="D71" s="12"/>
      <c r="E71" s="12"/>
      <c r="F71" s="12"/>
      <c r="G71" s="13" t="s">
        <v>99</v>
      </c>
      <c r="H71" s="13"/>
      <c r="I71" s="13" t="s">
        <v>142</v>
      </c>
      <c r="J71" s="13"/>
      <c r="K71" s="21" t="s">
        <v>134</v>
      </c>
      <c r="L71" s="21"/>
      <c r="M71" s="15">
        <f>3000</f>
        <v>3000</v>
      </c>
      <c r="N71" s="15"/>
      <c r="O71" s="19" t="s">
        <v>63</v>
      </c>
      <c r="P71" s="19"/>
      <c r="Q71" s="19"/>
      <c r="R71" s="19"/>
      <c r="S71" s="19"/>
      <c r="T71" s="50">
        <f>3000</f>
        <v>3000</v>
      </c>
      <c r="U71" s="50"/>
    </row>
    <row r="72" spans="1:21" s="1" customFormat="1" ht="24" customHeight="1">
      <c r="A72" s="12" t="s">
        <v>143</v>
      </c>
      <c r="B72" s="12"/>
      <c r="C72" s="12"/>
      <c r="D72" s="12"/>
      <c r="E72" s="12"/>
      <c r="F72" s="12"/>
      <c r="G72" s="13" t="s">
        <v>99</v>
      </c>
      <c r="H72" s="13"/>
      <c r="I72" s="13" t="s">
        <v>144</v>
      </c>
      <c r="J72" s="13"/>
      <c r="K72" s="21" t="s">
        <v>145</v>
      </c>
      <c r="L72" s="21"/>
      <c r="M72" s="15">
        <f>4.42</f>
        <v>4.42</v>
      </c>
      <c r="N72" s="15"/>
      <c r="O72" s="15">
        <f>4.42</f>
        <v>4.42</v>
      </c>
      <c r="P72" s="15"/>
      <c r="Q72" s="15"/>
      <c r="R72" s="15"/>
      <c r="S72" s="15"/>
      <c r="T72" s="50">
        <f>0</f>
        <v>0</v>
      </c>
      <c r="U72" s="50"/>
    </row>
    <row r="73" spans="1:21" s="1" customFormat="1" ht="13.5" customHeight="1">
      <c r="A73" s="12" t="s">
        <v>107</v>
      </c>
      <c r="B73" s="12"/>
      <c r="C73" s="12"/>
      <c r="D73" s="12"/>
      <c r="E73" s="12"/>
      <c r="F73" s="12"/>
      <c r="G73" s="13" t="s">
        <v>99</v>
      </c>
      <c r="H73" s="13"/>
      <c r="I73" s="13" t="s">
        <v>146</v>
      </c>
      <c r="J73" s="13"/>
      <c r="K73" s="21" t="s">
        <v>109</v>
      </c>
      <c r="L73" s="21"/>
      <c r="M73" s="15">
        <f>250000</f>
        <v>250000</v>
      </c>
      <c r="N73" s="15"/>
      <c r="O73" s="15">
        <f>3910</f>
        <v>3910</v>
      </c>
      <c r="P73" s="15"/>
      <c r="Q73" s="15"/>
      <c r="R73" s="15"/>
      <c r="S73" s="15"/>
      <c r="T73" s="50">
        <f>246090</f>
        <v>246090</v>
      </c>
      <c r="U73" s="50"/>
    </row>
    <row r="74" spans="1:21" s="1" customFormat="1" ht="13.5" customHeight="1">
      <c r="A74" s="12" t="s">
        <v>114</v>
      </c>
      <c r="B74" s="12"/>
      <c r="C74" s="12"/>
      <c r="D74" s="12"/>
      <c r="E74" s="12"/>
      <c r="F74" s="12"/>
      <c r="G74" s="13" t="s">
        <v>99</v>
      </c>
      <c r="H74" s="13"/>
      <c r="I74" s="13" t="s">
        <v>147</v>
      </c>
      <c r="J74" s="13"/>
      <c r="K74" s="21" t="s">
        <v>116</v>
      </c>
      <c r="L74" s="21"/>
      <c r="M74" s="15">
        <f>25000</f>
        <v>25000</v>
      </c>
      <c r="N74" s="15"/>
      <c r="O74" s="15">
        <f>25000</f>
        <v>25000</v>
      </c>
      <c r="P74" s="15"/>
      <c r="Q74" s="15"/>
      <c r="R74" s="15"/>
      <c r="S74" s="15"/>
      <c r="T74" s="50">
        <f>0</f>
        <v>0</v>
      </c>
      <c r="U74" s="50"/>
    </row>
    <row r="75" spans="1:21" s="1" customFormat="1" ht="13.5" customHeight="1">
      <c r="A75" s="12" t="s">
        <v>114</v>
      </c>
      <c r="B75" s="12"/>
      <c r="C75" s="12"/>
      <c r="D75" s="12"/>
      <c r="E75" s="12"/>
      <c r="F75" s="12"/>
      <c r="G75" s="13" t="s">
        <v>99</v>
      </c>
      <c r="H75" s="13"/>
      <c r="I75" s="13" t="s">
        <v>148</v>
      </c>
      <c r="J75" s="13"/>
      <c r="K75" s="21" t="s">
        <v>116</v>
      </c>
      <c r="L75" s="21"/>
      <c r="M75" s="15">
        <f>2334766.9</f>
        <v>2334766.9</v>
      </c>
      <c r="N75" s="15"/>
      <c r="O75" s="19" t="s">
        <v>63</v>
      </c>
      <c r="P75" s="19"/>
      <c r="Q75" s="19"/>
      <c r="R75" s="19"/>
      <c r="S75" s="19"/>
      <c r="T75" s="50">
        <f>2334766.9</f>
        <v>2334766.9</v>
      </c>
      <c r="U75" s="50"/>
    </row>
    <row r="76" spans="1:21" s="1" customFormat="1" ht="13.5" customHeight="1">
      <c r="A76" s="12" t="s">
        <v>100</v>
      </c>
      <c r="B76" s="12"/>
      <c r="C76" s="12"/>
      <c r="D76" s="12"/>
      <c r="E76" s="12"/>
      <c r="F76" s="12"/>
      <c r="G76" s="13" t="s">
        <v>99</v>
      </c>
      <c r="H76" s="13"/>
      <c r="I76" s="13" t="s">
        <v>149</v>
      </c>
      <c r="J76" s="13"/>
      <c r="K76" s="21" t="s">
        <v>102</v>
      </c>
      <c r="L76" s="21"/>
      <c r="M76" s="15">
        <f>287100</f>
        <v>287100</v>
      </c>
      <c r="N76" s="15"/>
      <c r="O76" s="15">
        <f>125224.62</f>
        <v>125224.62</v>
      </c>
      <c r="P76" s="15"/>
      <c r="Q76" s="15"/>
      <c r="R76" s="15"/>
      <c r="S76" s="15"/>
      <c r="T76" s="50">
        <f>161875.38</f>
        <v>161875.38</v>
      </c>
      <c r="U76" s="50"/>
    </row>
    <row r="77" spans="1:21" s="1" customFormat="1" ht="13.5" customHeight="1">
      <c r="A77" s="12" t="s">
        <v>103</v>
      </c>
      <c r="B77" s="12"/>
      <c r="C77" s="12"/>
      <c r="D77" s="12"/>
      <c r="E77" s="12"/>
      <c r="F77" s="12"/>
      <c r="G77" s="13" t="s">
        <v>99</v>
      </c>
      <c r="H77" s="13"/>
      <c r="I77" s="13" t="s">
        <v>150</v>
      </c>
      <c r="J77" s="13"/>
      <c r="K77" s="21" t="s">
        <v>105</v>
      </c>
      <c r="L77" s="21"/>
      <c r="M77" s="15">
        <f>86700</f>
        <v>86700</v>
      </c>
      <c r="N77" s="15"/>
      <c r="O77" s="15">
        <f>56441.39</f>
        <v>56441.39</v>
      </c>
      <c r="P77" s="15"/>
      <c r="Q77" s="15"/>
      <c r="R77" s="15"/>
      <c r="S77" s="15"/>
      <c r="T77" s="50">
        <f>30258.61</f>
        <v>30258.61</v>
      </c>
      <c r="U77" s="50"/>
    </row>
    <row r="78" spans="1:21" s="1" customFormat="1" ht="13.5" customHeight="1">
      <c r="A78" s="12" t="s">
        <v>121</v>
      </c>
      <c r="B78" s="12"/>
      <c r="C78" s="12"/>
      <c r="D78" s="12"/>
      <c r="E78" s="12"/>
      <c r="F78" s="12"/>
      <c r="G78" s="13" t="s">
        <v>99</v>
      </c>
      <c r="H78" s="13"/>
      <c r="I78" s="13" t="s">
        <v>151</v>
      </c>
      <c r="J78" s="13"/>
      <c r="K78" s="21" t="s">
        <v>123</v>
      </c>
      <c r="L78" s="21"/>
      <c r="M78" s="15">
        <f>10000</f>
        <v>10000</v>
      </c>
      <c r="N78" s="15"/>
      <c r="O78" s="15">
        <f>4333.99</f>
        <v>4333.99</v>
      </c>
      <c r="P78" s="15"/>
      <c r="Q78" s="15"/>
      <c r="R78" s="15"/>
      <c r="S78" s="15"/>
      <c r="T78" s="50">
        <f>5666.01</f>
        <v>5666.01</v>
      </c>
      <c r="U78" s="50"/>
    </row>
    <row r="79" spans="1:21" s="1" customFormat="1" ht="13.5" customHeight="1">
      <c r="A79" s="12" t="s">
        <v>130</v>
      </c>
      <c r="B79" s="12"/>
      <c r="C79" s="12"/>
      <c r="D79" s="12"/>
      <c r="E79" s="12"/>
      <c r="F79" s="12"/>
      <c r="G79" s="13" t="s">
        <v>99</v>
      </c>
      <c r="H79" s="13"/>
      <c r="I79" s="13" t="s">
        <v>152</v>
      </c>
      <c r="J79" s="13"/>
      <c r="K79" s="21" t="s">
        <v>131</v>
      </c>
      <c r="L79" s="21"/>
      <c r="M79" s="15">
        <f>10000</f>
        <v>10000</v>
      </c>
      <c r="N79" s="15"/>
      <c r="O79" s="19" t="s">
        <v>63</v>
      </c>
      <c r="P79" s="19"/>
      <c r="Q79" s="19"/>
      <c r="R79" s="19"/>
      <c r="S79" s="19"/>
      <c r="T79" s="50">
        <f>10000</f>
        <v>10000</v>
      </c>
      <c r="U79" s="50"/>
    </row>
    <row r="80" spans="1:21" s="1" customFormat="1" ht="13.5" customHeight="1">
      <c r="A80" s="12" t="s">
        <v>100</v>
      </c>
      <c r="B80" s="12"/>
      <c r="C80" s="12"/>
      <c r="D80" s="12"/>
      <c r="E80" s="12"/>
      <c r="F80" s="12"/>
      <c r="G80" s="13" t="s">
        <v>99</v>
      </c>
      <c r="H80" s="13"/>
      <c r="I80" s="13" t="s">
        <v>153</v>
      </c>
      <c r="J80" s="13"/>
      <c r="K80" s="21" t="s">
        <v>102</v>
      </c>
      <c r="L80" s="21"/>
      <c r="M80" s="15">
        <f>55000</f>
        <v>55000</v>
      </c>
      <c r="N80" s="15"/>
      <c r="O80" s="15">
        <f>32157.32</f>
        <v>32157.32</v>
      </c>
      <c r="P80" s="15"/>
      <c r="Q80" s="15"/>
      <c r="R80" s="15"/>
      <c r="S80" s="15"/>
      <c r="T80" s="50">
        <f>22842.68</f>
        <v>22842.68</v>
      </c>
      <c r="U80" s="50"/>
    </row>
    <row r="81" spans="1:21" s="1" customFormat="1" ht="13.5" customHeight="1">
      <c r="A81" s="12" t="s">
        <v>103</v>
      </c>
      <c r="B81" s="12"/>
      <c r="C81" s="12"/>
      <c r="D81" s="12"/>
      <c r="E81" s="12"/>
      <c r="F81" s="12"/>
      <c r="G81" s="13" t="s">
        <v>99</v>
      </c>
      <c r="H81" s="13"/>
      <c r="I81" s="13" t="s">
        <v>154</v>
      </c>
      <c r="J81" s="13"/>
      <c r="K81" s="21" t="s">
        <v>105</v>
      </c>
      <c r="L81" s="21"/>
      <c r="M81" s="15">
        <f>16600</f>
        <v>16600</v>
      </c>
      <c r="N81" s="15"/>
      <c r="O81" s="15">
        <f>11732.68</f>
        <v>11732.68</v>
      </c>
      <c r="P81" s="15"/>
      <c r="Q81" s="15"/>
      <c r="R81" s="15"/>
      <c r="S81" s="15"/>
      <c r="T81" s="50">
        <f>4867.32</f>
        <v>4867.32</v>
      </c>
      <c r="U81" s="50"/>
    </row>
    <row r="82" spans="1:21" s="1" customFormat="1" ht="13.5" customHeight="1">
      <c r="A82" s="12" t="s">
        <v>130</v>
      </c>
      <c r="B82" s="12"/>
      <c r="C82" s="12"/>
      <c r="D82" s="12"/>
      <c r="E82" s="12"/>
      <c r="F82" s="12"/>
      <c r="G82" s="13" t="s">
        <v>99</v>
      </c>
      <c r="H82" s="13"/>
      <c r="I82" s="13" t="s">
        <v>155</v>
      </c>
      <c r="J82" s="13"/>
      <c r="K82" s="21" t="s">
        <v>131</v>
      </c>
      <c r="L82" s="21"/>
      <c r="M82" s="15">
        <f>16180</f>
        <v>16180</v>
      </c>
      <c r="N82" s="15"/>
      <c r="O82" s="19" t="s">
        <v>63</v>
      </c>
      <c r="P82" s="19"/>
      <c r="Q82" s="19"/>
      <c r="R82" s="19"/>
      <c r="S82" s="19"/>
      <c r="T82" s="50">
        <f>16180</f>
        <v>16180</v>
      </c>
      <c r="U82" s="50"/>
    </row>
    <row r="83" spans="1:21" s="1" customFormat="1" ht="13.5" customHeight="1">
      <c r="A83" s="12" t="s">
        <v>130</v>
      </c>
      <c r="B83" s="12"/>
      <c r="C83" s="12"/>
      <c r="D83" s="12"/>
      <c r="E83" s="12"/>
      <c r="F83" s="12"/>
      <c r="G83" s="13" t="s">
        <v>99</v>
      </c>
      <c r="H83" s="13"/>
      <c r="I83" s="13" t="s">
        <v>156</v>
      </c>
      <c r="J83" s="13"/>
      <c r="K83" s="21" t="s">
        <v>131</v>
      </c>
      <c r="L83" s="21"/>
      <c r="M83" s="15">
        <f>12280</f>
        <v>12280</v>
      </c>
      <c r="N83" s="15"/>
      <c r="O83" s="15">
        <f>5100</f>
        <v>5100</v>
      </c>
      <c r="P83" s="15"/>
      <c r="Q83" s="15"/>
      <c r="R83" s="15"/>
      <c r="S83" s="15"/>
      <c r="T83" s="50">
        <f>7180</f>
        <v>7180</v>
      </c>
      <c r="U83" s="50"/>
    </row>
    <row r="84" spans="1:21" s="1" customFormat="1" ht="13.5" customHeight="1">
      <c r="A84" s="12" t="s">
        <v>126</v>
      </c>
      <c r="B84" s="12"/>
      <c r="C84" s="12"/>
      <c r="D84" s="12"/>
      <c r="E84" s="12"/>
      <c r="F84" s="12"/>
      <c r="G84" s="13" t="s">
        <v>99</v>
      </c>
      <c r="H84" s="13"/>
      <c r="I84" s="13" t="s">
        <v>157</v>
      </c>
      <c r="J84" s="13"/>
      <c r="K84" s="21" t="s">
        <v>127</v>
      </c>
      <c r="L84" s="21"/>
      <c r="M84" s="15">
        <f>250000</f>
        <v>250000</v>
      </c>
      <c r="N84" s="15"/>
      <c r="O84" s="15">
        <f>85682</f>
        <v>85682</v>
      </c>
      <c r="P84" s="15"/>
      <c r="Q84" s="15"/>
      <c r="R84" s="15"/>
      <c r="S84" s="15"/>
      <c r="T84" s="50">
        <f>164318</f>
        <v>164318</v>
      </c>
      <c r="U84" s="50"/>
    </row>
    <row r="85" spans="1:21" s="1" customFormat="1" ht="13.5" customHeight="1">
      <c r="A85" s="12" t="s">
        <v>118</v>
      </c>
      <c r="B85" s="12"/>
      <c r="C85" s="12"/>
      <c r="D85" s="12"/>
      <c r="E85" s="12"/>
      <c r="F85" s="12"/>
      <c r="G85" s="13" t="s">
        <v>99</v>
      </c>
      <c r="H85" s="13"/>
      <c r="I85" s="13" t="s">
        <v>158</v>
      </c>
      <c r="J85" s="13"/>
      <c r="K85" s="21" t="s">
        <v>120</v>
      </c>
      <c r="L85" s="21"/>
      <c r="M85" s="15">
        <f>168900</f>
        <v>168900</v>
      </c>
      <c r="N85" s="15"/>
      <c r="O85" s="15">
        <f>72160</f>
        <v>72160</v>
      </c>
      <c r="P85" s="15"/>
      <c r="Q85" s="15"/>
      <c r="R85" s="15"/>
      <c r="S85" s="15"/>
      <c r="T85" s="50">
        <f>96740</f>
        <v>96740</v>
      </c>
      <c r="U85" s="50"/>
    </row>
    <row r="86" spans="1:21" s="1" customFormat="1" ht="13.5" customHeight="1">
      <c r="A86" s="12" t="s">
        <v>114</v>
      </c>
      <c r="B86" s="12"/>
      <c r="C86" s="12"/>
      <c r="D86" s="12"/>
      <c r="E86" s="12"/>
      <c r="F86" s="12"/>
      <c r="G86" s="13" t="s">
        <v>99</v>
      </c>
      <c r="H86" s="13"/>
      <c r="I86" s="13" t="s">
        <v>159</v>
      </c>
      <c r="J86" s="13"/>
      <c r="K86" s="21" t="s">
        <v>116</v>
      </c>
      <c r="L86" s="21"/>
      <c r="M86" s="15">
        <f>13950</f>
        <v>13950</v>
      </c>
      <c r="N86" s="15"/>
      <c r="O86" s="15">
        <f>7000</f>
        <v>7000</v>
      </c>
      <c r="P86" s="15"/>
      <c r="Q86" s="15"/>
      <c r="R86" s="15"/>
      <c r="S86" s="15"/>
      <c r="T86" s="50">
        <f>6950</f>
        <v>6950</v>
      </c>
      <c r="U86" s="50"/>
    </row>
    <row r="87" spans="1:21" s="1" customFormat="1" ht="13.5" customHeight="1">
      <c r="A87" s="12" t="s">
        <v>114</v>
      </c>
      <c r="B87" s="12"/>
      <c r="C87" s="12"/>
      <c r="D87" s="12"/>
      <c r="E87" s="12"/>
      <c r="F87" s="12"/>
      <c r="G87" s="13" t="s">
        <v>99</v>
      </c>
      <c r="H87" s="13"/>
      <c r="I87" s="13" t="s">
        <v>160</v>
      </c>
      <c r="J87" s="13"/>
      <c r="K87" s="21" t="s">
        <v>116</v>
      </c>
      <c r="L87" s="21"/>
      <c r="M87" s="15">
        <f>5980</f>
        <v>5980</v>
      </c>
      <c r="N87" s="15"/>
      <c r="O87" s="15">
        <f>3000</f>
        <v>3000</v>
      </c>
      <c r="P87" s="15"/>
      <c r="Q87" s="15"/>
      <c r="R87" s="15"/>
      <c r="S87" s="15"/>
      <c r="T87" s="50">
        <f>2980</f>
        <v>2980</v>
      </c>
      <c r="U87" s="50"/>
    </row>
    <row r="88" spans="1:21" s="1" customFormat="1" ht="13.5" customHeight="1">
      <c r="A88" s="12" t="s">
        <v>118</v>
      </c>
      <c r="B88" s="12"/>
      <c r="C88" s="12"/>
      <c r="D88" s="12"/>
      <c r="E88" s="12"/>
      <c r="F88" s="12"/>
      <c r="G88" s="13" t="s">
        <v>99</v>
      </c>
      <c r="H88" s="13"/>
      <c r="I88" s="13" t="s">
        <v>161</v>
      </c>
      <c r="J88" s="13"/>
      <c r="K88" s="21" t="s">
        <v>120</v>
      </c>
      <c r="L88" s="21"/>
      <c r="M88" s="15">
        <f>806900</f>
        <v>806900</v>
      </c>
      <c r="N88" s="15"/>
      <c r="O88" s="15">
        <f>492203.18</f>
        <v>492203.18</v>
      </c>
      <c r="P88" s="15"/>
      <c r="Q88" s="15"/>
      <c r="R88" s="15"/>
      <c r="S88" s="15"/>
      <c r="T88" s="50">
        <f>314696.82</f>
        <v>314696.82</v>
      </c>
      <c r="U88" s="50"/>
    </row>
    <row r="89" spans="1:21" s="1" customFormat="1" ht="13.5" customHeight="1">
      <c r="A89" s="12" t="s">
        <v>118</v>
      </c>
      <c r="B89" s="12"/>
      <c r="C89" s="12"/>
      <c r="D89" s="12"/>
      <c r="E89" s="12"/>
      <c r="F89" s="12"/>
      <c r="G89" s="13" t="s">
        <v>99</v>
      </c>
      <c r="H89" s="13"/>
      <c r="I89" s="13" t="s">
        <v>162</v>
      </c>
      <c r="J89" s="13"/>
      <c r="K89" s="21" t="s">
        <v>120</v>
      </c>
      <c r="L89" s="21"/>
      <c r="M89" s="15">
        <f>3118130</f>
        <v>3118130</v>
      </c>
      <c r="N89" s="15"/>
      <c r="O89" s="15">
        <f>356763.77</f>
        <v>356763.77</v>
      </c>
      <c r="P89" s="15"/>
      <c r="Q89" s="15"/>
      <c r="R89" s="15"/>
      <c r="S89" s="15"/>
      <c r="T89" s="50">
        <f>2761366.23</f>
        <v>2761366.23</v>
      </c>
      <c r="U89" s="50"/>
    </row>
    <row r="90" spans="1:21" s="1" customFormat="1" ht="24" customHeight="1">
      <c r="A90" s="12" t="s">
        <v>163</v>
      </c>
      <c r="B90" s="12"/>
      <c r="C90" s="12"/>
      <c r="D90" s="12"/>
      <c r="E90" s="12"/>
      <c r="F90" s="12"/>
      <c r="G90" s="13" t="s">
        <v>99</v>
      </c>
      <c r="H90" s="13"/>
      <c r="I90" s="13" t="s">
        <v>164</v>
      </c>
      <c r="J90" s="13"/>
      <c r="K90" s="21" t="s">
        <v>165</v>
      </c>
      <c r="L90" s="21"/>
      <c r="M90" s="15">
        <f>1568147.52</f>
        <v>1568147.52</v>
      </c>
      <c r="N90" s="15"/>
      <c r="O90" s="15">
        <f>617437.39</f>
        <v>617437.39</v>
      </c>
      <c r="P90" s="15"/>
      <c r="Q90" s="15"/>
      <c r="R90" s="15"/>
      <c r="S90" s="15"/>
      <c r="T90" s="50">
        <f>950710.13</f>
        <v>950710.13</v>
      </c>
      <c r="U90" s="50"/>
    </row>
    <row r="91" spans="1:21" s="1" customFormat="1" ht="13.5" customHeight="1">
      <c r="A91" s="12" t="s">
        <v>126</v>
      </c>
      <c r="B91" s="12"/>
      <c r="C91" s="12"/>
      <c r="D91" s="12"/>
      <c r="E91" s="12"/>
      <c r="F91" s="12"/>
      <c r="G91" s="13" t="s">
        <v>99</v>
      </c>
      <c r="H91" s="13"/>
      <c r="I91" s="13" t="s">
        <v>166</v>
      </c>
      <c r="J91" s="13"/>
      <c r="K91" s="21" t="s">
        <v>127</v>
      </c>
      <c r="L91" s="21"/>
      <c r="M91" s="15">
        <f>6155419.64</f>
        <v>6155419.64</v>
      </c>
      <c r="N91" s="15"/>
      <c r="O91" s="15">
        <f>1473545.2</f>
        <v>1473545.2</v>
      </c>
      <c r="P91" s="15"/>
      <c r="Q91" s="15"/>
      <c r="R91" s="15"/>
      <c r="S91" s="15"/>
      <c r="T91" s="50">
        <f>4681874.44</f>
        <v>4681874.44</v>
      </c>
      <c r="U91" s="50"/>
    </row>
    <row r="92" spans="1:21" s="1" customFormat="1" ht="13.5" customHeight="1">
      <c r="A92" s="12" t="s">
        <v>130</v>
      </c>
      <c r="B92" s="12"/>
      <c r="C92" s="12"/>
      <c r="D92" s="12"/>
      <c r="E92" s="12"/>
      <c r="F92" s="12"/>
      <c r="G92" s="13" t="s">
        <v>99</v>
      </c>
      <c r="H92" s="13"/>
      <c r="I92" s="13" t="s">
        <v>167</v>
      </c>
      <c r="J92" s="13"/>
      <c r="K92" s="21" t="s">
        <v>131</v>
      </c>
      <c r="L92" s="21"/>
      <c r="M92" s="15">
        <f>83580.36</f>
        <v>83580.36</v>
      </c>
      <c r="N92" s="15"/>
      <c r="O92" s="15">
        <f>63708</f>
        <v>63708</v>
      </c>
      <c r="P92" s="15"/>
      <c r="Q92" s="15"/>
      <c r="R92" s="15"/>
      <c r="S92" s="15"/>
      <c r="T92" s="50">
        <f>19872.36</f>
        <v>19872.36</v>
      </c>
      <c r="U92" s="50"/>
    </row>
    <row r="93" spans="1:21" s="1" customFormat="1" ht="13.5" customHeight="1">
      <c r="A93" s="12" t="s">
        <v>130</v>
      </c>
      <c r="B93" s="12"/>
      <c r="C93" s="12"/>
      <c r="D93" s="12"/>
      <c r="E93" s="12"/>
      <c r="F93" s="12"/>
      <c r="G93" s="13" t="s">
        <v>99</v>
      </c>
      <c r="H93" s="13"/>
      <c r="I93" s="13" t="s">
        <v>168</v>
      </c>
      <c r="J93" s="13"/>
      <c r="K93" s="21" t="s">
        <v>131</v>
      </c>
      <c r="L93" s="21"/>
      <c r="M93" s="15">
        <f>10000</f>
        <v>10000</v>
      </c>
      <c r="N93" s="15"/>
      <c r="O93" s="19" t="s">
        <v>63</v>
      </c>
      <c r="P93" s="19"/>
      <c r="Q93" s="19"/>
      <c r="R93" s="19"/>
      <c r="S93" s="19"/>
      <c r="T93" s="50">
        <f>10000</f>
        <v>10000</v>
      </c>
      <c r="U93" s="50"/>
    </row>
    <row r="94" spans="1:21" s="1" customFormat="1" ht="13.5" customHeight="1">
      <c r="A94" s="12" t="s">
        <v>121</v>
      </c>
      <c r="B94" s="12"/>
      <c r="C94" s="12"/>
      <c r="D94" s="12"/>
      <c r="E94" s="12"/>
      <c r="F94" s="12"/>
      <c r="G94" s="13" t="s">
        <v>99</v>
      </c>
      <c r="H94" s="13"/>
      <c r="I94" s="13" t="s">
        <v>169</v>
      </c>
      <c r="J94" s="13"/>
      <c r="K94" s="21" t="s">
        <v>123</v>
      </c>
      <c r="L94" s="21"/>
      <c r="M94" s="15">
        <f>144666.48</f>
        <v>144666.48</v>
      </c>
      <c r="N94" s="15"/>
      <c r="O94" s="15">
        <f>47326.8</f>
        <v>47326.8</v>
      </c>
      <c r="P94" s="15"/>
      <c r="Q94" s="15"/>
      <c r="R94" s="15"/>
      <c r="S94" s="15"/>
      <c r="T94" s="50">
        <f>97339.68</f>
        <v>97339.68</v>
      </c>
      <c r="U94" s="50"/>
    </row>
    <row r="95" spans="1:21" s="1" customFormat="1" ht="13.5" customHeight="1">
      <c r="A95" s="12" t="s">
        <v>118</v>
      </c>
      <c r="B95" s="12"/>
      <c r="C95" s="12"/>
      <c r="D95" s="12"/>
      <c r="E95" s="12"/>
      <c r="F95" s="12"/>
      <c r="G95" s="13" t="s">
        <v>99</v>
      </c>
      <c r="H95" s="13"/>
      <c r="I95" s="13" t="s">
        <v>170</v>
      </c>
      <c r="J95" s="13"/>
      <c r="K95" s="21" t="s">
        <v>120</v>
      </c>
      <c r="L95" s="21"/>
      <c r="M95" s="15">
        <f>211800</f>
        <v>211800</v>
      </c>
      <c r="N95" s="15"/>
      <c r="O95" s="15">
        <f>48600</f>
        <v>48600</v>
      </c>
      <c r="P95" s="15"/>
      <c r="Q95" s="15"/>
      <c r="R95" s="15"/>
      <c r="S95" s="15"/>
      <c r="T95" s="50">
        <f>163200</f>
        <v>163200</v>
      </c>
      <c r="U95" s="50"/>
    </row>
    <row r="96" spans="1:21" s="1" customFormat="1" ht="13.5" customHeight="1">
      <c r="A96" s="12" t="s">
        <v>128</v>
      </c>
      <c r="B96" s="12"/>
      <c r="C96" s="12"/>
      <c r="D96" s="12"/>
      <c r="E96" s="12"/>
      <c r="F96" s="12"/>
      <c r="G96" s="13" t="s">
        <v>99</v>
      </c>
      <c r="H96" s="13"/>
      <c r="I96" s="13" t="s">
        <v>170</v>
      </c>
      <c r="J96" s="13"/>
      <c r="K96" s="21" t="s">
        <v>129</v>
      </c>
      <c r="L96" s="21"/>
      <c r="M96" s="15">
        <f>50000</f>
        <v>50000</v>
      </c>
      <c r="N96" s="15"/>
      <c r="O96" s="15">
        <f>37465</f>
        <v>37465</v>
      </c>
      <c r="P96" s="15"/>
      <c r="Q96" s="15"/>
      <c r="R96" s="15"/>
      <c r="S96" s="15"/>
      <c r="T96" s="50">
        <f>12535</f>
        <v>12535</v>
      </c>
      <c r="U96" s="50"/>
    </row>
    <row r="97" spans="1:21" s="1" customFormat="1" ht="13.5" customHeight="1">
      <c r="A97" s="12" t="s">
        <v>130</v>
      </c>
      <c r="B97" s="12"/>
      <c r="C97" s="12"/>
      <c r="D97" s="12"/>
      <c r="E97" s="12"/>
      <c r="F97" s="12"/>
      <c r="G97" s="13" t="s">
        <v>99</v>
      </c>
      <c r="H97" s="13"/>
      <c r="I97" s="13" t="s">
        <v>170</v>
      </c>
      <c r="J97" s="13"/>
      <c r="K97" s="21" t="s">
        <v>131</v>
      </c>
      <c r="L97" s="21"/>
      <c r="M97" s="15">
        <f>70000</f>
        <v>70000</v>
      </c>
      <c r="N97" s="15"/>
      <c r="O97" s="15">
        <f>18837</f>
        <v>18837</v>
      </c>
      <c r="P97" s="15"/>
      <c r="Q97" s="15"/>
      <c r="R97" s="15"/>
      <c r="S97" s="15"/>
      <c r="T97" s="50">
        <f>51163</f>
        <v>51163</v>
      </c>
      <c r="U97" s="50"/>
    </row>
    <row r="98" spans="1:21" s="1" customFormat="1" ht="13.5" customHeight="1">
      <c r="A98" s="12" t="s">
        <v>118</v>
      </c>
      <c r="B98" s="12"/>
      <c r="C98" s="12"/>
      <c r="D98" s="12"/>
      <c r="E98" s="12"/>
      <c r="F98" s="12"/>
      <c r="G98" s="13" t="s">
        <v>99</v>
      </c>
      <c r="H98" s="13"/>
      <c r="I98" s="13" t="s">
        <v>171</v>
      </c>
      <c r="J98" s="13"/>
      <c r="K98" s="21" t="s">
        <v>120</v>
      </c>
      <c r="L98" s="21"/>
      <c r="M98" s="15">
        <f>200000</f>
        <v>200000</v>
      </c>
      <c r="N98" s="15"/>
      <c r="O98" s="15">
        <f>39000</f>
        <v>39000</v>
      </c>
      <c r="P98" s="15"/>
      <c r="Q98" s="15"/>
      <c r="R98" s="15"/>
      <c r="S98" s="15"/>
      <c r="T98" s="50">
        <f>161000</f>
        <v>161000</v>
      </c>
      <c r="U98" s="50"/>
    </row>
    <row r="99" spans="1:21" s="1" customFormat="1" ht="13.5" customHeight="1">
      <c r="A99" s="12" t="s">
        <v>126</v>
      </c>
      <c r="B99" s="12"/>
      <c r="C99" s="12"/>
      <c r="D99" s="12"/>
      <c r="E99" s="12"/>
      <c r="F99" s="12"/>
      <c r="G99" s="13" t="s">
        <v>99</v>
      </c>
      <c r="H99" s="13"/>
      <c r="I99" s="13" t="s">
        <v>172</v>
      </c>
      <c r="J99" s="13"/>
      <c r="K99" s="21" t="s">
        <v>127</v>
      </c>
      <c r="L99" s="21"/>
      <c r="M99" s="15">
        <f>321600</f>
        <v>321600</v>
      </c>
      <c r="N99" s="15"/>
      <c r="O99" s="15">
        <f>207479.17</f>
        <v>207479.17</v>
      </c>
      <c r="P99" s="15"/>
      <c r="Q99" s="15"/>
      <c r="R99" s="15"/>
      <c r="S99" s="15"/>
      <c r="T99" s="50">
        <f>114120.83</f>
        <v>114120.83</v>
      </c>
      <c r="U99" s="50"/>
    </row>
    <row r="100" spans="1:21" s="1" customFormat="1" ht="13.5" customHeight="1">
      <c r="A100" s="12" t="s">
        <v>126</v>
      </c>
      <c r="B100" s="12"/>
      <c r="C100" s="12"/>
      <c r="D100" s="12"/>
      <c r="E100" s="12"/>
      <c r="F100" s="12"/>
      <c r="G100" s="13" t="s">
        <v>99</v>
      </c>
      <c r="H100" s="13"/>
      <c r="I100" s="13" t="s">
        <v>173</v>
      </c>
      <c r="J100" s="13"/>
      <c r="K100" s="21" t="s">
        <v>127</v>
      </c>
      <c r="L100" s="21"/>
      <c r="M100" s="15">
        <f>160000</f>
        <v>160000</v>
      </c>
      <c r="N100" s="15"/>
      <c r="O100" s="19" t="s">
        <v>63</v>
      </c>
      <c r="P100" s="19"/>
      <c r="Q100" s="19"/>
      <c r="R100" s="19"/>
      <c r="S100" s="19"/>
      <c r="T100" s="50">
        <f>160000</f>
        <v>160000</v>
      </c>
      <c r="U100" s="50"/>
    </row>
    <row r="101" spans="1:21" s="1" customFormat="1" ht="13.5" customHeight="1">
      <c r="A101" s="12" t="s">
        <v>111</v>
      </c>
      <c r="B101" s="12"/>
      <c r="C101" s="12"/>
      <c r="D101" s="12"/>
      <c r="E101" s="12"/>
      <c r="F101" s="12"/>
      <c r="G101" s="13" t="s">
        <v>99</v>
      </c>
      <c r="H101" s="13"/>
      <c r="I101" s="13" t="s">
        <v>174</v>
      </c>
      <c r="J101" s="13"/>
      <c r="K101" s="21" t="s">
        <v>113</v>
      </c>
      <c r="L101" s="21"/>
      <c r="M101" s="15">
        <f>3465106.49</f>
        <v>3465106.49</v>
      </c>
      <c r="N101" s="15"/>
      <c r="O101" s="15">
        <f>3465106.49</f>
        <v>3465106.49</v>
      </c>
      <c r="P101" s="15"/>
      <c r="Q101" s="15"/>
      <c r="R101" s="15"/>
      <c r="S101" s="15"/>
      <c r="T101" s="50">
        <f>0</f>
        <v>0</v>
      </c>
      <c r="U101" s="50"/>
    </row>
    <row r="102" spans="1:21" s="1" customFormat="1" ht="13.5" customHeight="1">
      <c r="A102" s="12" t="s">
        <v>111</v>
      </c>
      <c r="B102" s="12"/>
      <c r="C102" s="12"/>
      <c r="D102" s="12"/>
      <c r="E102" s="12"/>
      <c r="F102" s="12"/>
      <c r="G102" s="13" t="s">
        <v>99</v>
      </c>
      <c r="H102" s="13"/>
      <c r="I102" s="13" t="s">
        <v>175</v>
      </c>
      <c r="J102" s="13"/>
      <c r="K102" s="21" t="s">
        <v>113</v>
      </c>
      <c r="L102" s="21"/>
      <c r="M102" s="15">
        <f>8532000</f>
        <v>8532000</v>
      </c>
      <c r="N102" s="15"/>
      <c r="O102" s="19" t="s">
        <v>63</v>
      </c>
      <c r="P102" s="19"/>
      <c r="Q102" s="19"/>
      <c r="R102" s="19"/>
      <c r="S102" s="19"/>
      <c r="T102" s="50">
        <f>8532000</f>
        <v>8532000</v>
      </c>
      <c r="U102" s="50"/>
    </row>
    <row r="103" spans="1:21" s="1" customFormat="1" ht="13.5" customHeight="1">
      <c r="A103" s="12" t="s">
        <v>111</v>
      </c>
      <c r="B103" s="12"/>
      <c r="C103" s="12"/>
      <c r="D103" s="12"/>
      <c r="E103" s="12"/>
      <c r="F103" s="12"/>
      <c r="G103" s="13" t="s">
        <v>99</v>
      </c>
      <c r="H103" s="13"/>
      <c r="I103" s="13" t="s">
        <v>176</v>
      </c>
      <c r="J103" s="13"/>
      <c r="K103" s="21" t="s">
        <v>113</v>
      </c>
      <c r="L103" s="21"/>
      <c r="M103" s="15">
        <f>948000</f>
        <v>948000</v>
      </c>
      <c r="N103" s="15"/>
      <c r="O103" s="19" t="s">
        <v>63</v>
      </c>
      <c r="P103" s="19"/>
      <c r="Q103" s="19"/>
      <c r="R103" s="19"/>
      <c r="S103" s="19"/>
      <c r="T103" s="50">
        <f>948000</f>
        <v>948000</v>
      </c>
      <c r="U103" s="50"/>
    </row>
    <row r="104" spans="1:21" s="1" customFormat="1" ht="13.5" customHeight="1">
      <c r="A104" s="12" t="s">
        <v>124</v>
      </c>
      <c r="B104" s="12"/>
      <c r="C104" s="12"/>
      <c r="D104" s="12"/>
      <c r="E104" s="12"/>
      <c r="F104" s="12"/>
      <c r="G104" s="13" t="s">
        <v>99</v>
      </c>
      <c r="H104" s="13"/>
      <c r="I104" s="13" t="s">
        <v>177</v>
      </c>
      <c r="J104" s="13"/>
      <c r="K104" s="21" t="s">
        <v>125</v>
      </c>
      <c r="L104" s="21"/>
      <c r="M104" s="15">
        <f>853739.29</f>
        <v>853739.29</v>
      </c>
      <c r="N104" s="15"/>
      <c r="O104" s="15">
        <f>481198.31</f>
        <v>481198.31</v>
      </c>
      <c r="P104" s="15"/>
      <c r="Q104" s="15"/>
      <c r="R104" s="15"/>
      <c r="S104" s="15"/>
      <c r="T104" s="50">
        <f>372540.98</f>
        <v>372540.98</v>
      </c>
      <c r="U104" s="50"/>
    </row>
    <row r="105" spans="1:21" s="1" customFormat="1" ht="13.5" customHeight="1">
      <c r="A105" s="12" t="s">
        <v>126</v>
      </c>
      <c r="B105" s="12"/>
      <c r="C105" s="12"/>
      <c r="D105" s="12"/>
      <c r="E105" s="12"/>
      <c r="F105" s="12"/>
      <c r="G105" s="13" t="s">
        <v>99</v>
      </c>
      <c r="H105" s="13"/>
      <c r="I105" s="13" t="s">
        <v>177</v>
      </c>
      <c r="J105" s="13"/>
      <c r="K105" s="21" t="s">
        <v>127</v>
      </c>
      <c r="L105" s="21"/>
      <c r="M105" s="15">
        <f>50000</f>
        <v>50000</v>
      </c>
      <c r="N105" s="15"/>
      <c r="O105" s="19" t="s">
        <v>63</v>
      </c>
      <c r="P105" s="19"/>
      <c r="Q105" s="19"/>
      <c r="R105" s="19"/>
      <c r="S105" s="19"/>
      <c r="T105" s="50">
        <f>50000</f>
        <v>50000</v>
      </c>
      <c r="U105" s="50"/>
    </row>
    <row r="106" spans="1:21" s="1" customFormat="1" ht="13.5" customHeight="1">
      <c r="A106" s="12" t="s">
        <v>130</v>
      </c>
      <c r="B106" s="12"/>
      <c r="C106" s="12"/>
      <c r="D106" s="12"/>
      <c r="E106" s="12"/>
      <c r="F106" s="12"/>
      <c r="G106" s="13" t="s">
        <v>99</v>
      </c>
      <c r="H106" s="13"/>
      <c r="I106" s="13" t="s">
        <v>178</v>
      </c>
      <c r="J106" s="13"/>
      <c r="K106" s="21" t="s">
        <v>131</v>
      </c>
      <c r="L106" s="21"/>
      <c r="M106" s="15">
        <f>156653</f>
        <v>156653</v>
      </c>
      <c r="N106" s="15"/>
      <c r="O106" s="15">
        <f>156653</f>
        <v>156653</v>
      </c>
      <c r="P106" s="15"/>
      <c r="Q106" s="15"/>
      <c r="R106" s="15"/>
      <c r="S106" s="15"/>
      <c r="T106" s="50">
        <f>0</f>
        <v>0</v>
      </c>
      <c r="U106" s="50"/>
    </row>
    <row r="107" spans="1:21" s="1" customFormat="1" ht="13.5" customHeight="1">
      <c r="A107" s="12" t="s">
        <v>126</v>
      </c>
      <c r="B107" s="12"/>
      <c r="C107" s="12"/>
      <c r="D107" s="12"/>
      <c r="E107" s="12"/>
      <c r="F107" s="12"/>
      <c r="G107" s="13" t="s">
        <v>99</v>
      </c>
      <c r="H107" s="13"/>
      <c r="I107" s="13" t="s">
        <v>179</v>
      </c>
      <c r="J107" s="13"/>
      <c r="K107" s="21" t="s">
        <v>127</v>
      </c>
      <c r="L107" s="21"/>
      <c r="M107" s="15">
        <f>50000</f>
        <v>50000</v>
      </c>
      <c r="N107" s="15"/>
      <c r="O107" s="19" t="s">
        <v>63</v>
      </c>
      <c r="P107" s="19"/>
      <c r="Q107" s="19"/>
      <c r="R107" s="19"/>
      <c r="S107" s="19"/>
      <c r="T107" s="50">
        <f>50000</f>
        <v>50000</v>
      </c>
      <c r="U107" s="50"/>
    </row>
    <row r="108" spans="1:21" s="1" customFormat="1" ht="13.5" customHeight="1">
      <c r="A108" s="12" t="s">
        <v>126</v>
      </c>
      <c r="B108" s="12"/>
      <c r="C108" s="12"/>
      <c r="D108" s="12"/>
      <c r="E108" s="12"/>
      <c r="F108" s="12"/>
      <c r="G108" s="13" t="s">
        <v>99</v>
      </c>
      <c r="H108" s="13"/>
      <c r="I108" s="13" t="s">
        <v>180</v>
      </c>
      <c r="J108" s="13"/>
      <c r="K108" s="21" t="s">
        <v>127</v>
      </c>
      <c r="L108" s="21"/>
      <c r="M108" s="15">
        <f>1310000</f>
        <v>1310000</v>
      </c>
      <c r="N108" s="15"/>
      <c r="O108" s="15">
        <f>359693</f>
        <v>359693</v>
      </c>
      <c r="P108" s="15"/>
      <c r="Q108" s="15"/>
      <c r="R108" s="15"/>
      <c r="S108" s="15"/>
      <c r="T108" s="50">
        <f>950307</f>
        <v>950307</v>
      </c>
      <c r="U108" s="50"/>
    </row>
    <row r="109" spans="1:21" s="1" customFormat="1" ht="13.5" customHeight="1">
      <c r="A109" s="12" t="s">
        <v>128</v>
      </c>
      <c r="B109" s="12"/>
      <c r="C109" s="12"/>
      <c r="D109" s="12"/>
      <c r="E109" s="12"/>
      <c r="F109" s="12"/>
      <c r="G109" s="13" t="s">
        <v>99</v>
      </c>
      <c r="H109" s="13"/>
      <c r="I109" s="13" t="s">
        <v>180</v>
      </c>
      <c r="J109" s="13"/>
      <c r="K109" s="21" t="s">
        <v>129</v>
      </c>
      <c r="L109" s="21"/>
      <c r="M109" s="15">
        <f>310000</f>
        <v>310000</v>
      </c>
      <c r="N109" s="15"/>
      <c r="O109" s="15">
        <f>166295</f>
        <v>166295</v>
      </c>
      <c r="P109" s="15"/>
      <c r="Q109" s="15"/>
      <c r="R109" s="15"/>
      <c r="S109" s="15"/>
      <c r="T109" s="50">
        <f>143705</f>
        <v>143705</v>
      </c>
      <c r="U109" s="50"/>
    </row>
    <row r="110" spans="1:21" s="1" customFormat="1" ht="13.5" customHeight="1">
      <c r="A110" s="12" t="s">
        <v>130</v>
      </c>
      <c r="B110" s="12"/>
      <c r="C110" s="12"/>
      <c r="D110" s="12"/>
      <c r="E110" s="12"/>
      <c r="F110" s="12"/>
      <c r="G110" s="13" t="s">
        <v>99</v>
      </c>
      <c r="H110" s="13"/>
      <c r="I110" s="13" t="s">
        <v>180</v>
      </c>
      <c r="J110" s="13"/>
      <c r="K110" s="21" t="s">
        <v>131</v>
      </c>
      <c r="L110" s="21"/>
      <c r="M110" s="15">
        <f>30000</f>
        <v>30000</v>
      </c>
      <c r="N110" s="15"/>
      <c r="O110" s="15">
        <f>5225</f>
        <v>5225</v>
      </c>
      <c r="P110" s="15"/>
      <c r="Q110" s="15"/>
      <c r="R110" s="15"/>
      <c r="S110" s="15"/>
      <c r="T110" s="50">
        <f>24775</f>
        <v>24775</v>
      </c>
      <c r="U110" s="50"/>
    </row>
    <row r="111" spans="1:21" s="1" customFormat="1" ht="13.5" customHeight="1">
      <c r="A111" s="12" t="s">
        <v>126</v>
      </c>
      <c r="B111" s="12"/>
      <c r="C111" s="12"/>
      <c r="D111" s="12"/>
      <c r="E111" s="12"/>
      <c r="F111" s="12"/>
      <c r="G111" s="13" t="s">
        <v>99</v>
      </c>
      <c r="H111" s="13"/>
      <c r="I111" s="13" t="s">
        <v>181</v>
      </c>
      <c r="J111" s="13"/>
      <c r="K111" s="21" t="s">
        <v>127</v>
      </c>
      <c r="L111" s="21"/>
      <c r="M111" s="15">
        <f>60000</f>
        <v>60000</v>
      </c>
      <c r="N111" s="15"/>
      <c r="O111" s="19" t="s">
        <v>63</v>
      </c>
      <c r="P111" s="19"/>
      <c r="Q111" s="19"/>
      <c r="R111" s="19"/>
      <c r="S111" s="19"/>
      <c r="T111" s="50">
        <f>60000</f>
        <v>60000</v>
      </c>
      <c r="U111" s="50"/>
    </row>
    <row r="112" spans="1:21" s="1" customFormat="1" ht="13.5" customHeight="1">
      <c r="A112" s="12" t="s">
        <v>114</v>
      </c>
      <c r="B112" s="12"/>
      <c r="C112" s="12"/>
      <c r="D112" s="12"/>
      <c r="E112" s="12"/>
      <c r="F112" s="12"/>
      <c r="G112" s="13" t="s">
        <v>99</v>
      </c>
      <c r="H112" s="13"/>
      <c r="I112" s="13" t="s">
        <v>181</v>
      </c>
      <c r="J112" s="13"/>
      <c r="K112" s="21" t="s">
        <v>116</v>
      </c>
      <c r="L112" s="21"/>
      <c r="M112" s="15">
        <f>60000</f>
        <v>60000</v>
      </c>
      <c r="N112" s="15"/>
      <c r="O112" s="19" t="s">
        <v>63</v>
      </c>
      <c r="P112" s="19"/>
      <c r="Q112" s="19"/>
      <c r="R112" s="19"/>
      <c r="S112" s="19"/>
      <c r="T112" s="50">
        <f>60000</f>
        <v>60000</v>
      </c>
      <c r="U112" s="50"/>
    </row>
    <row r="113" spans="1:21" s="1" customFormat="1" ht="13.5" customHeight="1">
      <c r="A113" s="12" t="s">
        <v>130</v>
      </c>
      <c r="B113" s="12"/>
      <c r="C113" s="12"/>
      <c r="D113" s="12"/>
      <c r="E113" s="12"/>
      <c r="F113" s="12"/>
      <c r="G113" s="13" t="s">
        <v>99</v>
      </c>
      <c r="H113" s="13"/>
      <c r="I113" s="13" t="s">
        <v>181</v>
      </c>
      <c r="J113" s="13"/>
      <c r="K113" s="21" t="s">
        <v>131</v>
      </c>
      <c r="L113" s="21"/>
      <c r="M113" s="15">
        <f>144000</f>
        <v>144000</v>
      </c>
      <c r="N113" s="15"/>
      <c r="O113" s="15">
        <f>23896.24</f>
        <v>23896.24</v>
      </c>
      <c r="P113" s="15"/>
      <c r="Q113" s="15"/>
      <c r="R113" s="15"/>
      <c r="S113" s="15"/>
      <c r="T113" s="50">
        <f>120103.76</f>
        <v>120103.76</v>
      </c>
      <c r="U113" s="50"/>
    </row>
    <row r="114" spans="1:21" s="1" customFormat="1" ht="13.5" customHeight="1">
      <c r="A114" s="12" t="s">
        <v>126</v>
      </c>
      <c r="B114" s="12"/>
      <c r="C114" s="12"/>
      <c r="D114" s="12"/>
      <c r="E114" s="12"/>
      <c r="F114" s="12"/>
      <c r="G114" s="13" t="s">
        <v>99</v>
      </c>
      <c r="H114" s="13"/>
      <c r="I114" s="13" t="s">
        <v>182</v>
      </c>
      <c r="J114" s="13"/>
      <c r="K114" s="21" t="s">
        <v>127</v>
      </c>
      <c r="L114" s="21"/>
      <c r="M114" s="15">
        <f>1000000</f>
        <v>1000000</v>
      </c>
      <c r="N114" s="15"/>
      <c r="O114" s="19" t="s">
        <v>63</v>
      </c>
      <c r="P114" s="19"/>
      <c r="Q114" s="19"/>
      <c r="R114" s="19"/>
      <c r="S114" s="19"/>
      <c r="T114" s="50">
        <f>1000000</f>
        <v>1000000</v>
      </c>
      <c r="U114" s="50"/>
    </row>
    <row r="115" spans="1:21" s="1" customFormat="1" ht="13.5" customHeight="1">
      <c r="A115" s="12" t="s">
        <v>111</v>
      </c>
      <c r="B115" s="12"/>
      <c r="C115" s="12"/>
      <c r="D115" s="12"/>
      <c r="E115" s="12"/>
      <c r="F115" s="12"/>
      <c r="G115" s="13" t="s">
        <v>99</v>
      </c>
      <c r="H115" s="13"/>
      <c r="I115" s="13" t="s">
        <v>183</v>
      </c>
      <c r="J115" s="13"/>
      <c r="K115" s="21" t="s">
        <v>113</v>
      </c>
      <c r="L115" s="21"/>
      <c r="M115" s="15">
        <f>1000000</f>
        <v>1000000</v>
      </c>
      <c r="N115" s="15"/>
      <c r="O115" s="19" t="s">
        <v>63</v>
      </c>
      <c r="P115" s="19"/>
      <c r="Q115" s="19"/>
      <c r="R115" s="19"/>
      <c r="S115" s="19"/>
      <c r="T115" s="50">
        <f>1000000</f>
        <v>1000000</v>
      </c>
      <c r="U115" s="50"/>
    </row>
    <row r="116" spans="1:21" s="1" customFormat="1" ht="13.5" customHeight="1">
      <c r="A116" s="12" t="s">
        <v>111</v>
      </c>
      <c r="B116" s="12"/>
      <c r="C116" s="12"/>
      <c r="D116" s="12"/>
      <c r="E116" s="12"/>
      <c r="F116" s="12"/>
      <c r="G116" s="13" t="s">
        <v>99</v>
      </c>
      <c r="H116" s="13"/>
      <c r="I116" s="13" t="s">
        <v>184</v>
      </c>
      <c r="J116" s="13"/>
      <c r="K116" s="21" t="s">
        <v>113</v>
      </c>
      <c r="L116" s="21"/>
      <c r="M116" s="15">
        <f>1000000</f>
        <v>1000000</v>
      </c>
      <c r="N116" s="15"/>
      <c r="O116" s="19" t="s">
        <v>63</v>
      </c>
      <c r="P116" s="19"/>
      <c r="Q116" s="19"/>
      <c r="R116" s="19"/>
      <c r="S116" s="19"/>
      <c r="T116" s="50">
        <f>1000000</f>
        <v>1000000</v>
      </c>
      <c r="U116" s="50"/>
    </row>
    <row r="117" spans="1:21" s="1" customFormat="1" ht="13.5" customHeight="1">
      <c r="A117" s="12" t="s">
        <v>111</v>
      </c>
      <c r="B117" s="12"/>
      <c r="C117" s="12"/>
      <c r="D117" s="12"/>
      <c r="E117" s="12"/>
      <c r="F117" s="12"/>
      <c r="G117" s="13" t="s">
        <v>99</v>
      </c>
      <c r="H117" s="13"/>
      <c r="I117" s="13" t="s">
        <v>185</v>
      </c>
      <c r="J117" s="13"/>
      <c r="K117" s="21" t="s">
        <v>113</v>
      </c>
      <c r="L117" s="21"/>
      <c r="M117" s="15">
        <f>312148</f>
        <v>312148</v>
      </c>
      <c r="N117" s="15"/>
      <c r="O117" s="15">
        <f>156074</f>
        <v>156074</v>
      </c>
      <c r="P117" s="15"/>
      <c r="Q117" s="15"/>
      <c r="R117" s="15"/>
      <c r="S117" s="15"/>
      <c r="T117" s="50">
        <f>156074</f>
        <v>156074</v>
      </c>
      <c r="U117" s="50"/>
    </row>
    <row r="118" spans="1:21" s="1" customFormat="1" ht="13.5" customHeight="1">
      <c r="A118" s="12" t="s">
        <v>100</v>
      </c>
      <c r="B118" s="12"/>
      <c r="C118" s="12"/>
      <c r="D118" s="12"/>
      <c r="E118" s="12"/>
      <c r="F118" s="12"/>
      <c r="G118" s="13" t="s">
        <v>99</v>
      </c>
      <c r="H118" s="13"/>
      <c r="I118" s="13" t="s">
        <v>186</v>
      </c>
      <c r="J118" s="13"/>
      <c r="K118" s="21" t="s">
        <v>102</v>
      </c>
      <c r="L118" s="21"/>
      <c r="M118" s="15">
        <f>296100</f>
        <v>296100</v>
      </c>
      <c r="N118" s="15"/>
      <c r="O118" s="15">
        <f>132945.5</f>
        <v>132945.5</v>
      </c>
      <c r="P118" s="15"/>
      <c r="Q118" s="15"/>
      <c r="R118" s="15"/>
      <c r="S118" s="15"/>
      <c r="T118" s="50">
        <f>163154.5</f>
        <v>163154.5</v>
      </c>
      <c r="U118" s="50"/>
    </row>
    <row r="119" spans="1:21" s="1" customFormat="1" ht="13.5" customHeight="1">
      <c r="A119" s="12" t="s">
        <v>107</v>
      </c>
      <c r="B119" s="12"/>
      <c r="C119" s="12"/>
      <c r="D119" s="12"/>
      <c r="E119" s="12"/>
      <c r="F119" s="12"/>
      <c r="G119" s="13" t="s">
        <v>99</v>
      </c>
      <c r="H119" s="13"/>
      <c r="I119" s="13" t="s">
        <v>187</v>
      </c>
      <c r="J119" s="13"/>
      <c r="K119" s="21" t="s">
        <v>109</v>
      </c>
      <c r="L119" s="21"/>
      <c r="M119" s="15">
        <f>29100</f>
        <v>29100</v>
      </c>
      <c r="N119" s="15"/>
      <c r="O119" s="19" t="s">
        <v>63</v>
      </c>
      <c r="P119" s="19"/>
      <c r="Q119" s="19"/>
      <c r="R119" s="19"/>
      <c r="S119" s="19"/>
      <c r="T119" s="50">
        <f>29100</f>
        <v>29100</v>
      </c>
      <c r="U119" s="50"/>
    </row>
    <row r="120" spans="1:21" s="1" customFormat="1" ht="13.5" customHeight="1">
      <c r="A120" s="12" t="s">
        <v>103</v>
      </c>
      <c r="B120" s="12"/>
      <c r="C120" s="12"/>
      <c r="D120" s="12"/>
      <c r="E120" s="12"/>
      <c r="F120" s="12"/>
      <c r="G120" s="13" t="s">
        <v>99</v>
      </c>
      <c r="H120" s="13"/>
      <c r="I120" s="13" t="s">
        <v>188</v>
      </c>
      <c r="J120" s="13"/>
      <c r="K120" s="21" t="s">
        <v>105</v>
      </c>
      <c r="L120" s="21"/>
      <c r="M120" s="15">
        <f>89400</f>
        <v>89400</v>
      </c>
      <c r="N120" s="15"/>
      <c r="O120" s="15">
        <f>34176.67</f>
        <v>34176.67</v>
      </c>
      <c r="P120" s="15"/>
      <c r="Q120" s="15"/>
      <c r="R120" s="15"/>
      <c r="S120" s="15"/>
      <c r="T120" s="50">
        <f>55223.33</f>
        <v>55223.33</v>
      </c>
      <c r="U120" s="50"/>
    </row>
    <row r="121" spans="1:21" s="1" customFormat="1" ht="13.5" customHeight="1">
      <c r="A121" s="12" t="s">
        <v>128</v>
      </c>
      <c r="B121" s="12"/>
      <c r="C121" s="12"/>
      <c r="D121" s="12"/>
      <c r="E121" s="12"/>
      <c r="F121" s="12"/>
      <c r="G121" s="13" t="s">
        <v>99</v>
      </c>
      <c r="H121" s="13"/>
      <c r="I121" s="13" t="s">
        <v>189</v>
      </c>
      <c r="J121" s="13"/>
      <c r="K121" s="21" t="s">
        <v>129</v>
      </c>
      <c r="L121" s="21"/>
      <c r="M121" s="15">
        <f>55000</f>
        <v>55000</v>
      </c>
      <c r="N121" s="15"/>
      <c r="O121" s="19" t="s">
        <v>63</v>
      </c>
      <c r="P121" s="19"/>
      <c r="Q121" s="19"/>
      <c r="R121" s="19"/>
      <c r="S121" s="19"/>
      <c r="T121" s="50">
        <f>55000</f>
        <v>55000</v>
      </c>
      <c r="U121" s="50"/>
    </row>
    <row r="122" spans="1:21" s="1" customFormat="1" ht="13.5" customHeight="1">
      <c r="A122" s="12" t="s">
        <v>114</v>
      </c>
      <c r="B122" s="12"/>
      <c r="C122" s="12"/>
      <c r="D122" s="12"/>
      <c r="E122" s="12"/>
      <c r="F122" s="12"/>
      <c r="G122" s="13" t="s">
        <v>99</v>
      </c>
      <c r="H122" s="13"/>
      <c r="I122" s="13" t="s">
        <v>190</v>
      </c>
      <c r="J122" s="13"/>
      <c r="K122" s="21" t="s">
        <v>116</v>
      </c>
      <c r="L122" s="21"/>
      <c r="M122" s="15">
        <f>3600</f>
        <v>3600</v>
      </c>
      <c r="N122" s="15"/>
      <c r="O122" s="15">
        <f>3440</f>
        <v>3440</v>
      </c>
      <c r="P122" s="15"/>
      <c r="Q122" s="15"/>
      <c r="R122" s="15"/>
      <c r="S122" s="15"/>
      <c r="T122" s="50">
        <f>160</f>
        <v>160</v>
      </c>
      <c r="U122" s="50"/>
    </row>
    <row r="123" spans="1:21" s="1" customFormat="1" ht="13.5" customHeight="1">
      <c r="A123" s="12" t="s">
        <v>130</v>
      </c>
      <c r="B123" s="12"/>
      <c r="C123" s="12"/>
      <c r="D123" s="12"/>
      <c r="E123" s="12"/>
      <c r="F123" s="12"/>
      <c r="G123" s="13" t="s">
        <v>99</v>
      </c>
      <c r="H123" s="13"/>
      <c r="I123" s="13" t="s">
        <v>190</v>
      </c>
      <c r="J123" s="13"/>
      <c r="K123" s="21" t="s">
        <v>131</v>
      </c>
      <c r="L123" s="21"/>
      <c r="M123" s="15">
        <f>34000</f>
        <v>34000</v>
      </c>
      <c r="N123" s="15"/>
      <c r="O123" s="15">
        <f>26470</f>
        <v>26470</v>
      </c>
      <c r="P123" s="15"/>
      <c r="Q123" s="15"/>
      <c r="R123" s="15"/>
      <c r="S123" s="15"/>
      <c r="T123" s="50">
        <f>7530</f>
        <v>7530</v>
      </c>
      <c r="U123" s="50"/>
    </row>
    <row r="124" spans="1:21" s="1" customFormat="1" ht="13.5" customHeight="1">
      <c r="A124" s="12" t="s">
        <v>114</v>
      </c>
      <c r="B124" s="12"/>
      <c r="C124" s="12"/>
      <c r="D124" s="12"/>
      <c r="E124" s="12"/>
      <c r="F124" s="12"/>
      <c r="G124" s="13" t="s">
        <v>99</v>
      </c>
      <c r="H124" s="13"/>
      <c r="I124" s="13" t="s">
        <v>191</v>
      </c>
      <c r="J124" s="13"/>
      <c r="K124" s="21" t="s">
        <v>116</v>
      </c>
      <c r="L124" s="21"/>
      <c r="M124" s="15">
        <f>33600</f>
        <v>33600</v>
      </c>
      <c r="N124" s="15"/>
      <c r="O124" s="15">
        <f>20000</f>
        <v>20000</v>
      </c>
      <c r="P124" s="15"/>
      <c r="Q124" s="15"/>
      <c r="R124" s="15"/>
      <c r="S124" s="15"/>
      <c r="T124" s="50">
        <f>13600</f>
        <v>13600</v>
      </c>
      <c r="U124" s="50"/>
    </row>
    <row r="125" spans="1:21" s="1" customFormat="1" ht="13.5" customHeight="1">
      <c r="A125" s="12" t="s">
        <v>192</v>
      </c>
      <c r="B125" s="12"/>
      <c r="C125" s="12"/>
      <c r="D125" s="12"/>
      <c r="E125" s="12"/>
      <c r="F125" s="12"/>
      <c r="G125" s="13" t="s">
        <v>99</v>
      </c>
      <c r="H125" s="13"/>
      <c r="I125" s="13" t="s">
        <v>193</v>
      </c>
      <c r="J125" s="13"/>
      <c r="K125" s="21" t="s">
        <v>18</v>
      </c>
      <c r="L125" s="21"/>
      <c r="M125" s="19" t="s">
        <v>63</v>
      </c>
      <c r="N125" s="19"/>
      <c r="O125" s="15">
        <f>-15445.6</f>
        <v>-15445.6</v>
      </c>
      <c r="P125" s="15"/>
      <c r="Q125" s="15"/>
      <c r="R125" s="15"/>
      <c r="S125" s="15"/>
      <c r="T125" s="51" t="s">
        <v>63</v>
      </c>
      <c r="U125" s="51"/>
    </row>
    <row r="126" spans="1:21" s="1" customFormat="1" ht="13.5" customHeight="1">
      <c r="A126" s="12" t="s">
        <v>118</v>
      </c>
      <c r="B126" s="12"/>
      <c r="C126" s="12"/>
      <c r="D126" s="12"/>
      <c r="E126" s="12"/>
      <c r="F126" s="12"/>
      <c r="G126" s="13" t="s">
        <v>99</v>
      </c>
      <c r="H126" s="13"/>
      <c r="I126" s="13" t="s">
        <v>194</v>
      </c>
      <c r="J126" s="13"/>
      <c r="K126" s="21" t="s">
        <v>120</v>
      </c>
      <c r="L126" s="21"/>
      <c r="M126" s="15">
        <f>31700</f>
        <v>31700</v>
      </c>
      <c r="N126" s="15"/>
      <c r="O126" s="19" t="s">
        <v>63</v>
      </c>
      <c r="P126" s="19"/>
      <c r="Q126" s="19"/>
      <c r="R126" s="19"/>
      <c r="S126" s="19"/>
      <c r="T126" s="50">
        <f>31700</f>
        <v>31700</v>
      </c>
      <c r="U126" s="50"/>
    </row>
    <row r="127" spans="1:21" s="1" customFormat="1" ht="13.5" customHeight="1">
      <c r="A127" s="12" t="s">
        <v>130</v>
      </c>
      <c r="B127" s="12"/>
      <c r="C127" s="12"/>
      <c r="D127" s="12"/>
      <c r="E127" s="12"/>
      <c r="F127" s="12"/>
      <c r="G127" s="13" t="s">
        <v>99</v>
      </c>
      <c r="H127" s="13"/>
      <c r="I127" s="13" t="s">
        <v>195</v>
      </c>
      <c r="J127" s="13"/>
      <c r="K127" s="21" t="s">
        <v>131</v>
      </c>
      <c r="L127" s="21"/>
      <c r="M127" s="15">
        <f>111500</f>
        <v>111500</v>
      </c>
      <c r="N127" s="15"/>
      <c r="O127" s="15">
        <f>21816</f>
        <v>21816</v>
      </c>
      <c r="P127" s="15"/>
      <c r="Q127" s="15"/>
      <c r="R127" s="15"/>
      <c r="S127" s="15"/>
      <c r="T127" s="50">
        <f>89684</f>
        <v>89684</v>
      </c>
      <c r="U127" s="50"/>
    </row>
    <row r="128" spans="1:21" s="1" customFormat="1" ht="13.5" customHeight="1">
      <c r="A128" s="12" t="s">
        <v>100</v>
      </c>
      <c r="B128" s="12"/>
      <c r="C128" s="12"/>
      <c r="D128" s="12"/>
      <c r="E128" s="12"/>
      <c r="F128" s="12"/>
      <c r="G128" s="13" t="s">
        <v>99</v>
      </c>
      <c r="H128" s="13"/>
      <c r="I128" s="13" t="s">
        <v>196</v>
      </c>
      <c r="J128" s="13"/>
      <c r="K128" s="21" t="s">
        <v>102</v>
      </c>
      <c r="L128" s="21"/>
      <c r="M128" s="15">
        <f>2565759</f>
        <v>2565759</v>
      </c>
      <c r="N128" s="15"/>
      <c r="O128" s="15">
        <f>1540776.39</f>
        <v>1540776.39</v>
      </c>
      <c r="P128" s="15"/>
      <c r="Q128" s="15"/>
      <c r="R128" s="15"/>
      <c r="S128" s="15"/>
      <c r="T128" s="50">
        <f>1024982.61</f>
        <v>1024982.61</v>
      </c>
      <c r="U128" s="50"/>
    </row>
    <row r="129" spans="1:21" s="1" customFormat="1" ht="13.5" customHeight="1">
      <c r="A129" s="12" t="s">
        <v>107</v>
      </c>
      <c r="B129" s="12"/>
      <c r="C129" s="12"/>
      <c r="D129" s="12"/>
      <c r="E129" s="12"/>
      <c r="F129" s="12"/>
      <c r="G129" s="13" t="s">
        <v>99</v>
      </c>
      <c r="H129" s="13"/>
      <c r="I129" s="13" t="s">
        <v>197</v>
      </c>
      <c r="J129" s="13"/>
      <c r="K129" s="21" t="s">
        <v>109</v>
      </c>
      <c r="L129" s="21"/>
      <c r="M129" s="15">
        <f>280000</f>
        <v>280000</v>
      </c>
      <c r="N129" s="15"/>
      <c r="O129" s="15">
        <f>17016</f>
        <v>17016</v>
      </c>
      <c r="P129" s="15"/>
      <c r="Q129" s="15"/>
      <c r="R129" s="15"/>
      <c r="S129" s="15"/>
      <c r="T129" s="50">
        <f>262984</f>
        <v>262984</v>
      </c>
      <c r="U129" s="50"/>
    </row>
    <row r="130" spans="1:21" s="1" customFormat="1" ht="13.5" customHeight="1">
      <c r="A130" s="12" t="s">
        <v>103</v>
      </c>
      <c r="B130" s="12"/>
      <c r="C130" s="12"/>
      <c r="D130" s="12"/>
      <c r="E130" s="12"/>
      <c r="F130" s="12"/>
      <c r="G130" s="13" t="s">
        <v>99</v>
      </c>
      <c r="H130" s="13"/>
      <c r="I130" s="13" t="s">
        <v>198</v>
      </c>
      <c r="J130" s="13"/>
      <c r="K130" s="21" t="s">
        <v>105</v>
      </c>
      <c r="L130" s="21"/>
      <c r="M130" s="15">
        <f>774815.19</f>
        <v>774815.19</v>
      </c>
      <c r="N130" s="15"/>
      <c r="O130" s="15">
        <f>390966.49</f>
        <v>390966.49</v>
      </c>
      <c r="P130" s="15"/>
      <c r="Q130" s="15"/>
      <c r="R130" s="15"/>
      <c r="S130" s="15"/>
      <c r="T130" s="50">
        <f>383848.7</f>
        <v>383848.7</v>
      </c>
      <c r="U130" s="50"/>
    </row>
    <row r="131" spans="1:21" s="1" customFormat="1" ht="13.5" customHeight="1">
      <c r="A131" s="12" t="s">
        <v>121</v>
      </c>
      <c r="B131" s="12"/>
      <c r="C131" s="12"/>
      <c r="D131" s="12"/>
      <c r="E131" s="12"/>
      <c r="F131" s="12"/>
      <c r="G131" s="13" t="s">
        <v>99</v>
      </c>
      <c r="H131" s="13"/>
      <c r="I131" s="13" t="s">
        <v>199</v>
      </c>
      <c r="J131" s="13"/>
      <c r="K131" s="21" t="s">
        <v>123</v>
      </c>
      <c r="L131" s="21"/>
      <c r="M131" s="15">
        <f>58021.9</f>
        <v>58021.9</v>
      </c>
      <c r="N131" s="15"/>
      <c r="O131" s="15">
        <f>17289.6</f>
        <v>17289.6</v>
      </c>
      <c r="P131" s="15"/>
      <c r="Q131" s="15"/>
      <c r="R131" s="15"/>
      <c r="S131" s="15"/>
      <c r="T131" s="50">
        <f>40732.3</f>
        <v>40732.3</v>
      </c>
      <c r="U131" s="50"/>
    </row>
    <row r="132" spans="1:21" s="1" customFormat="1" ht="13.5" customHeight="1">
      <c r="A132" s="12" t="s">
        <v>118</v>
      </c>
      <c r="B132" s="12"/>
      <c r="C132" s="12"/>
      <c r="D132" s="12"/>
      <c r="E132" s="12"/>
      <c r="F132" s="12"/>
      <c r="G132" s="13" t="s">
        <v>99</v>
      </c>
      <c r="H132" s="13"/>
      <c r="I132" s="13" t="s">
        <v>199</v>
      </c>
      <c r="J132" s="13"/>
      <c r="K132" s="21" t="s">
        <v>120</v>
      </c>
      <c r="L132" s="21"/>
      <c r="M132" s="15">
        <f>7200</f>
        <v>7200</v>
      </c>
      <c r="N132" s="15"/>
      <c r="O132" s="19" t="s">
        <v>63</v>
      </c>
      <c r="P132" s="19"/>
      <c r="Q132" s="19"/>
      <c r="R132" s="19"/>
      <c r="S132" s="19"/>
      <c r="T132" s="50">
        <f>7200</f>
        <v>7200</v>
      </c>
      <c r="U132" s="50"/>
    </row>
    <row r="133" spans="1:21" s="1" customFormat="1" ht="13.5" customHeight="1">
      <c r="A133" s="12" t="s">
        <v>124</v>
      </c>
      <c r="B133" s="12"/>
      <c r="C133" s="12"/>
      <c r="D133" s="12"/>
      <c r="E133" s="12"/>
      <c r="F133" s="12"/>
      <c r="G133" s="13" t="s">
        <v>99</v>
      </c>
      <c r="H133" s="13"/>
      <c r="I133" s="13" t="s">
        <v>200</v>
      </c>
      <c r="J133" s="13"/>
      <c r="K133" s="21" t="s">
        <v>125</v>
      </c>
      <c r="L133" s="21"/>
      <c r="M133" s="15">
        <f>841103.06</f>
        <v>841103.06</v>
      </c>
      <c r="N133" s="15"/>
      <c r="O133" s="15">
        <f>567418.77</f>
        <v>567418.77</v>
      </c>
      <c r="P133" s="15"/>
      <c r="Q133" s="15"/>
      <c r="R133" s="15"/>
      <c r="S133" s="15"/>
      <c r="T133" s="50">
        <f>273684.29</f>
        <v>273684.29</v>
      </c>
      <c r="U133" s="50"/>
    </row>
    <row r="134" spans="1:21" s="1" customFormat="1" ht="13.5" customHeight="1">
      <c r="A134" s="12" t="s">
        <v>126</v>
      </c>
      <c r="B134" s="12"/>
      <c r="C134" s="12"/>
      <c r="D134" s="12"/>
      <c r="E134" s="12"/>
      <c r="F134" s="12"/>
      <c r="G134" s="13" t="s">
        <v>99</v>
      </c>
      <c r="H134" s="13"/>
      <c r="I134" s="13" t="s">
        <v>200</v>
      </c>
      <c r="J134" s="13"/>
      <c r="K134" s="21" t="s">
        <v>127</v>
      </c>
      <c r="L134" s="21"/>
      <c r="M134" s="15">
        <f>64800</f>
        <v>64800</v>
      </c>
      <c r="N134" s="15"/>
      <c r="O134" s="15">
        <f>8399.37</f>
        <v>8399.37</v>
      </c>
      <c r="P134" s="15"/>
      <c r="Q134" s="15"/>
      <c r="R134" s="15"/>
      <c r="S134" s="15"/>
      <c r="T134" s="50">
        <f>56400.63</f>
        <v>56400.63</v>
      </c>
      <c r="U134" s="50"/>
    </row>
    <row r="135" spans="1:21" s="1" customFormat="1" ht="13.5" customHeight="1">
      <c r="A135" s="12" t="s">
        <v>118</v>
      </c>
      <c r="B135" s="12"/>
      <c r="C135" s="12"/>
      <c r="D135" s="12"/>
      <c r="E135" s="12"/>
      <c r="F135" s="12"/>
      <c r="G135" s="13" t="s">
        <v>99</v>
      </c>
      <c r="H135" s="13"/>
      <c r="I135" s="13" t="s">
        <v>200</v>
      </c>
      <c r="J135" s="13"/>
      <c r="K135" s="21" t="s">
        <v>120</v>
      </c>
      <c r="L135" s="21"/>
      <c r="M135" s="15">
        <f>329000</f>
        <v>329000</v>
      </c>
      <c r="N135" s="15"/>
      <c r="O135" s="15">
        <f>126641.4</f>
        <v>126641.4</v>
      </c>
      <c r="P135" s="15"/>
      <c r="Q135" s="15"/>
      <c r="R135" s="15"/>
      <c r="S135" s="15"/>
      <c r="T135" s="50">
        <f>202358.6</f>
        <v>202358.6</v>
      </c>
      <c r="U135" s="50"/>
    </row>
    <row r="136" spans="1:21" s="1" customFormat="1" ht="13.5" customHeight="1">
      <c r="A136" s="12" t="s">
        <v>128</v>
      </c>
      <c r="B136" s="12"/>
      <c r="C136" s="12"/>
      <c r="D136" s="12"/>
      <c r="E136" s="12"/>
      <c r="F136" s="12"/>
      <c r="G136" s="13" t="s">
        <v>99</v>
      </c>
      <c r="H136" s="13"/>
      <c r="I136" s="13" t="s">
        <v>200</v>
      </c>
      <c r="J136" s="13"/>
      <c r="K136" s="21" t="s">
        <v>129</v>
      </c>
      <c r="L136" s="21"/>
      <c r="M136" s="15">
        <f>55000</f>
        <v>55000</v>
      </c>
      <c r="N136" s="15"/>
      <c r="O136" s="15">
        <f>45200</f>
        <v>45200</v>
      </c>
      <c r="P136" s="15"/>
      <c r="Q136" s="15"/>
      <c r="R136" s="15"/>
      <c r="S136" s="15"/>
      <c r="T136" s="50">
        <f>9800</f>
        <v>9800</v>
      </c>
      <c r="U136" s="50"/>
    </row>
    <row r="137" spans="1:21" s="1" customFormat="1" ht="13.5" customHeight="1">
      <c r="A137" s="12" t="s">
        <v>130</v>
      </c>
      <c r="B137" s="12"/>
      <c r="C137" s="12"/>
      <c r="D137" s="12"/>
      <c r="E137" s="12"/>
      <c r="F137" s="12"/>
      <c r="G137" s="13" t="s">
        <v>99</v>
      </c>
      <c r="H137" s="13"/>
      <c r="I137" s="13" t="s">
        <v>200</v>
      </c>
      <c r="J137" s="13"/>
      <c r="K137" s="21" t="s">
        <v>131</v>
      </c>
      <c r="L137" s="21"/>
      <c r="M137" s="15">
        <f>115000</f>
        <v>115000</v>
      </c>
      <c r="N137" s="15"/>
      <c r="O137" s="15">
        <f>38115.03</f>
        <v>38115.03</v>
      </c>
      <c r="P137" s="15"/>
      <c r="Q137" s="15"/>
      <c r="R137" s="15"/>
      <c r="S137" s="15"/>
      <c r="T137" s="50">
        <f>76884.97</f>
        <v>76884.97</v>
      </c>
      <c r="U137" s="50"/>
    </row>
    <row r="138" spans="1:21" s="1" customFormat="1" ht="13.5" customHeight="1">
      <c r="A138" s="12" t="s">
        <v>132</v>
      </c>
      <c r="B138" s="12"/>
      <c r="C138" s="12"/>
      <c r="D138" s="12"/>
      <c r="E138" s="12"/>
      <c r="F138" s="12"/>
      <c r="G138" s="13" t="s">
        <v>99</v>
      </c>
      <c r="H138" s="13"/>
      <c r="I138" s="13" t="s">
        <v>201</v>
      </c>
      <c r="J138" s="13"/>
      <c r="K138" s="21" t="s">
        <v>134</v>
      </c>
      <c r="L138" s="21"/>
      <c r="M138" s="15">
        <f>18700</f>
        <v>18700</v>
      </c>
      <c r="N138" s="15"/>
      <c r="O138" s="15">
        <f>7485</f>
        <v>7485</v>
      </c>
      <c r="P138" s="15"/>
      <c r="Q138" s="15"/>
      <c r="R138" s="15"/>
      <c r="S138" s="15"/>
      <c r="T138" s="50">
        <f>11215</f>
        <v>11215</v>
      </c>
      <c r="U138" s="50"/>
    </row>
    <row r="139" spans="1:21" s="1" customFormat="1" ht="13.5" customHeight="1">
      <c r="A139" s="12" t="s">
        <v>132</v>
      </c>
      <c r="B139" s="12"/>
      <c r="C139" s="12"/>
      <c r="D139" s="12"/>
      <c r="E139" s="12"/>
      <c r="F139" s="12"/>
      <c r="G139" s="13" t="s">
        <v>99</v>
      </c>
      <c r="H139" s="13"/>
      <c r="I139" s="13" t="s">
        <v>202</v>
      </c>
      <c r="J139" s="13"/>
      <c r="K139" s="21" t="s">
        <v>134</v>
      </c>
      <c r="L139" s="21"/>
      <c r="M139" s="15">
        <f>3000</f>
        <v>3000</v>
      </c>
      <c r="N139" s="15"/>
      <c r="O139" s="19" t="s">
        <v>63</v>
      </c>
      <c r="P139" s="19"/>
      <c r="Q139" s="19"/>
      <c r="R139" s="19"/>
      <c r="S139" s="19"/>
      <c r="T139" s="50">
        <f>3000</f>
        <v>3000</v>
      </c>
      <c r="U139" s="50"/>
    </row>
    <row r="140" spans="1:21" s="1" customFormat="1" ht="13.5" customHeight="1">
      <c r="A140" s="12" t="s">
        <v>100</v>
      </c>
      <c r="B140" s="12"/>
      <c r="C140" s="12"/>
      <c r="D140" s="12"/>
      <c r="E140" s="12"/>
      <c r="F140" s="12"/>
      <c r="G140" s="13" t="s">
        <v>99</v>
      </c>
      <c r="H140" s="13"/>
      <c r="I140" s="13" t="s">
        <v>203</v>
      </c>
      <c r="J140" s="13"/>
      <c r="K140" s="21" t="s">
        <v>102</v>
      </c>
      <c r="L140" s="21"/>
      <c r="M140" s="15">
        <f>3206192.7</f>
        <v>3206192.7</v>
      </c>
      <c r="N140" s="15"/>
      <c r="O140" s="15">
        <f>612665.2</f>
        <v>612665.2</v>
      </c>
      <c r="P140" s="15"/>
      <c r="Q140" s="15"/>
      <c r="R140" s="15"/>
      <c r="S140" s="15"/>
      <c r="T140" s="50">
        <f>2593527.5</f>
        <v>2593527.5</v>
      </c>
      <c r="U140" s="50"/>
    </row>
    <row r="141" spans="1:21" s="1" customFormat="1" ht="13.5" customHeight="1">
      <c r="A141" s="12" t="s">
        <v>103</v>
      </c>
      <c r="B141" s="12"/>
      <c r="C141" s="12"/>
      <c r="D141" s="12"/>
      <c r="E141" s="12"/>
      <c r="F141" s="12"/>
      <c r="G141" s="13" t="s">
        <v>99</v>
      </c>
      <c r="H141" s="13"/>
      <c r="I141" s="13" t="s">
        <v>204</v>
      </c>
      <c r="J141" s="13"/>
      <c r="K141" s="21" t="s">
        <v>105</v>
      </c>
      <c r="L141" s="21"/>
      <c r="M141" s="15">
        <f>968239.6</f>
        <v>968239.6</v>
      </c>
      <c r="N141" s="15"/>
      <c r="O141" s="15">
        <f>185009.8</f>
        <v>185009.8</v>
      </c>
      <c r="P141" s="15"/>
      <c r="Q141" s="15"/>
      <c r="R141" s="15"/>
      <c r="S141" s="15"/>
      <c r="T141" s="50">
        <f>783229.8</f>
        <v>783229.8</v>
      </c>
      <c r="U141" s="50"/>
    </row>
    <row r="142" spans="1:21" s="1" customFormat="1" ht="13.5" customHeight="1">
      <c r="A142" s="12" t="s">
        <v>100</v>
      </c>
      <c r="B142" s="12"/>
      <c r="C142" s="12"/>
      <c r="D142" s="12"/>
      <c r="E142" s="12"/>
      <c r="F142" s="12"/>
      <c r="G142" s="13" t="s">
        <v>99</v>
      </c>
      <c r="H142" s="13"/>
      <c r="I142" s="13" t="s">
        <v>205</v>
      </c>
      <c r="J142" s="13"/>
      <c r="K142" s="21" t="s">
        <v>102</v>
      </c>
      <c r="L142" s="21"/>
      <c r="M142" s="15">
        <f>356241</f>
        <v>356241</v>
      </c>
      <c r="N142" s="15"/>
      <c r="O142" s="15">
        <f>147743.63</f>
        <v>147743.63</v>
      </c>
      <c r="P142" s="15"/>
      <c r="Q142" s="15"/>
      <c r="R142" s="15"/>
      <c r="S142" s="15"/>
      <c r="T142" s="50">
        <f>208497.37</f>
        <v>208497.37</v>
      </c>
      <c r="U142" s="50"/>
    </row>
    <row r="143" spans="1:21" s="1" customFormat="1" ht="13.5" customHeight="1">
      <c r="A143" s="12" t="s">
        <v>103</v>
      </c>
      <c r="B143" s="12"/>
      <c r="C143" s="12"/>
      <c r="D143" s="12"/>
      <c r="E143" s="12"/>
      <c r="F143" s="12"/>
      <c r="G143" s="13" t="s">
        <v>99</v>
      </c>
      <c r="H143" s="13"/>
      <c r="I143" s="13" t="s">
        <v>206</v>
      </c>
      <c r="J143" s="13"/>
      <c r="K143" s="21" t="s">
        <v>105</v>
      </c>
      <c r="L143" s="21"/>
      <c r="M143" s="15">
        <f>107584.81</f>
        <v>107584.81</v>
      </c>
      <c r="N143" s="15"/>
      <c r="O143" s="15">
        <f>62967.43</f>
        <v>62967.43</v>
      </c>
      <c r="P143" s="15"/>
      <c r="Q143" s="15"/>
      <c r="R143" s="15"/>
      <c r="S143" s="15"/>
      <c r="T143" s="50">
        <f>44617.38</f>
        <v>44617.38</v>
      </c>
      <c r="U143" s="50"/>
    </row>
    <row r="144" spans="1:21" s="1" customFormat="1" ht="13.5" customHeight="1">
      <c r="A144" s="12" t="s">
        <v>114</v>
      </c>
      <c r="B144" s="12"/>
      <c r="C144" s="12"/>
      <c r="D144" s="12"/>
      <c r="E144" s="12"/>
      <c r="F144" s="12"/>
      <c r="G144" s="13" t="s">
        <v>99</v>
      </c>
      <c r="H144" s="13"/>
      <c r="I144" s="13" t="s">
        <v>207</v>
      </c>
      <c r="J144" s="13"/>
      <c r="K144" s="21" t="s">
        <v>116</v>
      </c>
      <c r="L144" s="21"/>
      <c r="M144" s="15">
        <f>62600</f>
        <v>62600</v>
      </c>
      <c r="N144" s="15"/>
      <c r="O144" s="15">
        <f>27376</f>
        <v>27376</v>
      </c>
      <c r="P144" s="15"/>
      <c r="Q144" s="15"/>
      <c r="R144" s="15"/>
      <c r="S144" s="15"/>
      <c r="T144" s="50">
        <f>35224</f>
        <v>35224</v>
      </c>
      <c r="U144" s="50"/>
    </row>
    <row r="145" spans="1:21" s="1" customFormat="1" ht="13.5" customHeight="1">
      <c r="A145" s="12" t="s">
        <v>208</v>
      </c>
      <c r="B145" s="12"/>
      <c r="C145" s="12"/>
      <c r="D145" s="12"/>
      <c r="E145" s="12"/>
      <c r="F145" s="12"/>
      <c r="G145" s="13" t="s">
        <v>99</v>
      </c>
      <c r="H145" s="13"/>
      <c r="I145" s="13" t="s">
        <v>209</v>
      </c>
      <c r="J145" s="13"/>
      <c r="K145" s="21" t="s">
        <v>210</v>
      </c>
      <c r="L145" s="21"/>
      <c r="M145" s="15">
        <f>33340</f>
        <v>33340</v>
      </c>
      <c r="N145" s="15"/>
      <c r="O145" s="15">
        <f>33340</f>
        <v>33340</v>
      </c>
      <c r="P145" s="15"/>
      <c r="Q145" s="15"/>
      <c r="R145" s="15"/>
      <c r="S145" s="15"/>
      <c r="T145" s="50">
        <f>0</f>
        <v>0</v>
      </c>
      <c r="U145" s="50"/>
    </row>
    <row r="146" spans="1:21" s="1" customFormat="1" ht="13.5" customHeight="1">
      <c r="A146" s="12" t="s">
        <v>128</v>
      </c>
      <c r="B146" s="12"/>
      <c r="C146" s="12"/>
      <c r="D146" s="12"/>
      <c r="E146" s="12"/>
      <c r="F146" s="12"/>
      <c r="G146" s="13" t="s">
        <v>99</v>
      </c>
      <c r="H146" s="13"/>
      <c r="I146" s="13" t="s">
        <v>209</v>
      </c>
      <c r="J146" s="13"/>
      <c r="K146" s="21" t="s">
        <v>129</v>
      </c>
      <c r="L146" s="21"/>
      <c r="M146" s="15">
        <f>66660</f>
        <v>66660</v>
      </c>
      <c r="N146" s="15"/>
      <c r="O146" s="15">
        <f>66660</f>
        <v>66660</v>
      </c>
      <c r="P146" s="15"/>
      <c r="Q146" s="15"/>
      <c r="R146" s="15"/>
      <c r="S146" s="15"/>
      <c r="T146" s="50">
        <f>0</f>
        <v>0</v>
      </c>
      <c r="U146" s="50"/>
    </row>
    <row r="147" spans="1:21" s="1" customFormat="1" ht="13.5" customHeight="1">
      <c r="A147" s="12" t="s">
        <v>208</v>
      </c>
      <c r="B147" s="12"/>
      <c r="C147" s="12"/>
      <c r="D147" s="12"/>
      <c r="E147" s="12"/>
      <c r="F147" s="12"/>
      <c r="G147" s="13" t="s">
        <v>99</v>
      </c>
      <c r="H147" s="13"/>
      <c r="I147" s="13" t="s">
        <v>211</v>
      </c>
      <c r="J147" s="13"/>
      <c r="K147" s="21" t="s">
        <v>210</v>
      </c>
      <c r="L147" s="21"/>
      <c r="M147" s="15">
        <f>40000</f>
        <v>40000</v>
      </c>
      <c r="N147" s="15"/>
      <c r="O147" s="15">
        <f>18840</f>
        <v>18840</v>
      </c>
      <c r="P147" s="15"/>
      <c r="Q147" s="15"/>
      <c r="R147" s="15"/>
      <c r="S147" s="15"/>
      <c r="T147" s="50">
        <f>21160</f>
        <v>21160</v>
      </c>
      <c r="U147" s="50"/>
    </row>
    <row r="148" spans="1:21" s="1" customFormat="1" ht="13.5" customHeight="1">
      <c r="A148" s="12" t="s">
        <v>114</v>
      </c>
      <c r="B148" s="12"/>
      <c r="C148" s="12"/>
      <c r="D148" s="12"/>
      <c r="E148" s="12"/>
      <c r="F148" s="12"/>
      <c r="G148" s="13" t="s">
        <v>99</v>
      </c>
      <c r="H148" s="13"/>
      <c r="I148" s="13" t="s">
        <v>211</v>
      </c>
      <c r="J148" s="13"/>
      <c r="K148" s="21" t="s">
        <v>116</v>
      </c>
      <c r="L148" s="21"/>
      <c r="M148" s="15">
        <f>200000</f>
        <v>200000</v>
      </c>
      <c r="N148" s="15"/>
      <c r="O148" s="15">
        <f>68800</f>
        <v>68800</v>
      </c>
      <c r="P148" s="15"/>
      <c r="Q148" s="15"/>
      <c r="R148" s="15"/>
      <c r="S148" s="15"/>
      <c r="T148" s="50">
        <f>131200</f>
        <v>131200</v>
      </c>
      <c r="U148" s="50"/>
    </row>
    <row r="149" spans="1:21" s="1" customFormat="1" ht="13.5" customHeight="1">
      <c r="A149" s="12" t="s">
        <v>130</v>
      </c>
      <c r="B149" s="12"/>
      <c r="C149" s="12"/>
      <c r="D149" s="12"/>
      <c r="E149" s="12"/>
      <c r="F149" s="12"/>
      <c r="G149" s="13" t="s">
        <v>99</v>
      </c>
      <c r="H149" s="13"/>
      <c r="I149" s="13" t="s">
        <v>211</v>
      </c>
      <c r="J149" s="13"/>
      <c r="K149" s="21" t="s">
        <v>131</v>
      </c>
      <c r="L149" s="21"/>
      <c r="M149" s="15">
        <f>334000</f>
        <v>334000</v>
      </c>
      <c r="N149" s="15"/>
      <c r="O149" s="15">
        <f>138200</f>
        <v>138200</v>
      </c>
      <c r="P149" s="15"/>
      <c r="Q149" s="15"/>
      <c r="R149" s="15"/>
      <c r="S149" s="15"/>
      <c r="T149" s="50">
        <f>195800</f>
        <v>195800</v>
      </c>
      <c r="U149" s="50"/>
    </row>
    <row r="150" spans="1:21" s="1" customFormat="1" ht="24" customHeight="1">
      <c r="A150" s="12" t="s">
        <v>212</v>
      </c>
      <c r="B150" s="12"/>
      <c r="C150" s="12"/>
      <c r="D150" s="12"/>
      <c r="E150" s="12"/>
      <c r="F150" s="12"/>
      <c r="G150" s="13" t="s">
        <v>99</v>
      </c>
      <c r="H150" s="13"/>
      <c r="I150" s="13" t="s">
        <v>213</v>
      </c>
      <c r="J150" s="13"/>
      <c r="K150" s="21" t="s">
        <v>214</v>
      </c>
      <c r="L150" s="21"/>
      <c r="M150" s="15">
        <f>180000</f>
        <v>180000</v>
      </c>
      <c r="N150" s="15"/>
      <c r="O150" s="15">
        <f>90000</f>
        <v>90000</v>
      </c>
      <c r="P150" s="15"/>
      <c r="Q150" s="15"/>
      <c r="R150" s="15"/>
      <c r="S150" s="15"/>
      <c r="T150" s="50">
        <f>90000</f>
        <v>90000</v>
      </c>
      <c r="U150" s="50"/>
    </row>
    <row r="151" spans="1:21" s="1" customFormat="1" ht="13.5" customHeight="1">
      <c r="A151" s="12" t="s">
        <v>130</v>
      </c>
      <c r="B151" s="12"/>
      <c r="C151" s="12"/>
      <c r="D151" s="12"/>
      <c r="E151" s="12"/>
      <c r="F151" s="12"/>
      <c r="G151" s="13" t="s">
        <v>99</v>
      </c>
      <c r="H151" s="13"/>
      <c r="I151" s="13" t="s">
        <v>215</v>
      </c>
      <c r="J151" s="13"/>
      <c r="K151" s="21" t="s">
        <v>131</v>
      </c>
      <c r="L151" s="21"/>
      <c r="M151" s="15">
        <f>30000</f>
        <v>30000</v>
      </c>
      <c r="N151" s="15"/>
      <c r="O151" s="19" t="s">
        <v>63</v>
      </c>
      <c r="P151" s="19"/>
      <c r="Q151" s="19"/>
      <c r="R151" s="19"/>
      <c r="S151" s="19"/>
      <c r="T151" s="50">
        <f>30000</f>
        <v>30000</v>
      </c>
      <c r="U151" s="50"/>
    </row>
    <row r="152" spans="1:21" s="1" customFormat="1" ht="13.5" customHeight="1">
      <c r="A152" s="12" t="s">
        <v>126</v>
      </c>
      <c r="B152" s="12"/>
      <c r="C152" s="12"/>
      <c r="D152" s="12"/>
      <c r="E152" s="12"/>
      <c r="F152" s="12"/>
      <c r="G152" s="13" t="s">
        <v>99</v>
      </c>
      <c r="H152" s="13"/>
      <c r="I152" s="13" t="s">
        <v>216</v>
      </c>
      <c r="J152" s="13"/>
      <c r="K152" s="21" t="s">
        <v>127</v>
      </c>
      <c r="L152" s="21"/>
      <c r="M152" s="15">
        <f>17000</f>
        <v>17000</v>
      </c>
      <c r="N152" s="15"/>
      <c r="O152" s="19" t="s">
        <v>63</v>
      </c>
      <c r="P152" s="19"/>
      <c r="Q152" s="19"/>
      <c r="R152" s="19"/>
      <c r="S152" s="19"/>
      <c r="T152" s="50">
        <f>17000</f>
        <v>17000</v>
      </c>
      <c r="U152" s="50"/>
    </row>
    <row r="153" spans="1:21" s="1" customFormat="1" ht="13.5" customHeight="1">
      <c r="A153" s="12" t="s">
        <v>114</v>
      </c>
      <c r="B153" s="12"/>
      <c r="C153" s="12"/>
      <c r="D153" s="12"/>
      <c r="E153" s="12"/>
      <c r="F153" s="12"/>
      <c r="G153" s="13" t="s">
        <v>99</v>
      </c>
      <c r="H153" s="13"/>
      <c r="I153" s="13" t="s">
        <v>217</v>
      </c>
      <c r="J153" s="13"/>
      <c r="K153" s="21" t="s">
        <v>116</v>
      </c>
      <c r="L153" s="21"/>
      <c r="M153" s="15">
        <f>41800</f>
        <v>41800</v>
      </c>
      <c r="N153" s="15"/>
      <c r="O153" s="15">
        <f>24088</f>
        <v>24088</v>
      </c>
      <c r="P153" s="15"/>
      <c r="Q153" s="15"/>
      <c r="R153" s="15"/>
      <c r="S153" s="15"/>
      <c r="T153" s="50">
        <f>17712</f>
        <v>17712</v>
      </c>
      <c r="U153" s="50"/>
    </row>
    <row r="154" spans="1:21" s="1" customFormat="1" ht="13.5" customHeight="1">
      <c r="A154" s="12" t="s">
        <v>118</v>
      </c>
      <c r="B154" s="12"/>
      <c r="C154" s="12"/>
      <c r="D154" s="12"/>
      <c r="E154" s="12"/>
      <c r="F154" s="12"/>
      <c r="G154" s="13" t="s">
        <v>99</v>
      </c>
      <c r="H154" s="13"/>
      <c r="I154" s="13" t="s">
        <v>218</v>
      </c>
      <c r="J154" s="13"/>
      <c r="K154" s="21" t="s">
        <v>120</v>
      </c>
      <c r="L154" s="21"/>
      <c r="M154" s="15">
        <f>10000</f>
        <v>10000</v>
      </c>
      <c r="N154" s="15"/>
      <c r="O154" s="15">
        <f>919.45</f>
        <v>919.45</v>
      </c>
      <c r="P154" s="15"/>
      <c r="Q154" s="15"/>
      <c r="R154" s="15"/>
      <c r="S154" s="15"/>
      <c r="T154" s="50">
        <f>9080.55</f>
        <v>9080.55</v>
      </c>
      <c r="U154" s="50"/>
    </row>
    <row r="155" spans="1:21" s="1" customFormat="1" ht="15" customHeight="1">
      <c r="A155" s="46" t="s">
        <v>219</v>
      </c>
      <c r="B155" s="46"/>
      <c r="C155" s="46"/>
      <c r="D155" s="46"/>
      <c r="E155" s="46"/>
      <c r="F155" s="46"/>
      <c r="G155" s="47" t="s">
        <v>220</v>
      </c>
      <c r="H155" s="47"/>
      <c r="I155" s="47" t="s">
        <v>38</v>
      </c>
      <c r="J155" s="47"/>
      <c r="K155" s="48" t="s">
        <v>38</v>
      </c>
      <c r="L155" s="48"/>
      <c r="M155" s="49">
        <f>-4884198.6</f>
        <v>-4884198.6</v>
      </c>
      <c r="N155" s="49"/>
      <c r="O155" s="49">
        <f>3255902.64</f>
        <v>3255902.64</v>
      </c>
      <c r="P155" s="49"/>
      <c r="Q155" s="49"/>
      <c r="R155" s="49"/>
      <c r="S155" s="49"/>
      <c r="T155" s="41" t="s">
        <v>38</v>
      </c>
      <c r="U155" s="41"/>
    </row>
    <row r="156" spans="1:21" s="1" customFormat="1" ht="13.5" customHeight="1">
      <c r="A156" s="9" t="s">
        <v>18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s="1" customFormat="1" ht="13.5" customHeight="1">
      <c r="A157" s="42" t="s">
        <v>221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s="1" customFormat="1" ht="45.75" customHeight="1">
      <c r="A158" s="43" t="s">
        <v>24</v>
      </c>
      <c r="B158" s="43"/>
      <c r="C158" s="43"/>
      <c r="D158" s="43"/>
      <c r="E158" s="43"/>
      <c r="F158" s="43"/>
      <c r="G158" s="43"/>
      <c r="H158" s="43" t="s">
        <v>25</v>
      </c>
      <c r="I158" s="43"/>
      <c r="J158" s="43" t="s">
        <v>222</v>
      </c>
      <c r="K158" s="43"/>
      <c r="L158" s="44" t="s">
        <v>27</v>
      </c>
      <c r="M158" s="44"/>
      <c r="N158" s="44" t="s">
        <v>28</v>
      </c>
      <c r="O158" s="44"/>
      <c r="P158" s="44"/>
      <c r="Q158" s="44"/>
      <c r="R158" s="44"/>
      <c r="S158" s="45" t="s">
        <v>29</v>
      </c>
      <c r="T158" s="45"/>
      <c r="U158" s="45"/>
    </row>
    <row r="159" spans="1:21" s="1" customFormat="1" ht="12.75" customHeight="1">
      <c r="A159" s="38" t="s">
        <v>30</v>
      </c>
      <c r="B159" s="38"/>
      <c r="C159" s="38"/>
      <c r="D159" s="38"/>
      <c r="E159" s="38"/>
      <c r="F159" s="38"/>
      <c r="G159" s="38"/>
      <c r="H159" s="38" t="s">
        <v>31</v>
      </c>
      <c r="I159" s="38"/>
      <c r="J159" s="38" t="s">
        <v>32</v>
      </c>
      <c r="K159" s="38"/>
      <c r="L159" s="39" t="s">
        <v>33</v>
      </c>
      <c r="M159" s="39"/>
      <c r="N159" s="39" t="s">
        <v>34</v>
      </c>
      <c r="O159" s="39"/>
      <c r="P159" s="39"/>
      <c r="Q159" s="39"/>
      <c r="R159" s="39"/>
      <c r="S159" s="40" t="s">
        <v>35</v>
      </c>
      <c r="T159" s="40"/>
      <c r="U159" s="40"/>
    </row>
    <row r="160" spans="1:21" s="1" customFormat="1" ht="13.5" customHeight="1">
      <c r="A160" s="33" t="s">
        <v>223</v>
      </c>
      <c r="B160" s="33"/>
      <c r="C160" s="33"/>
      <c r="D160" s="33"/>
      <c r="E160" s="33"/>
      <c r="F160" s="33"/>
      <c r="G160" s="33"/>
      <c r="H160" s="34" t="s">
        <v>224</v>
      </c>
      <c r="I160" s="34"/>
      <c r="J160" s="34" t="s">
        <v>38</v>
      </c>
      <c r="K160" s="34"/>
      <c r="L160" s="35">
        <f>4884198.6</f>
        <v>4884198.6</v>
      </c>
      <c r="M160" s="35"/>
      <c r="N160" s="36">
        <f>-3255902.64</f>
        <v>-3255902.64</v>
      </c>
      <c r="O160" s="36"/>
      <c r="P160" s="36"/>
      <c r="Q160" s="36"/>
      <c r="R160" s="36"/>
      <c r="S160" s="37" t="s">
        <v>38</v>
      </c>
      <c r="T160" s="37"/>
      <c r="U160" s="37"/>
    </row>
    <row r="161" spans="1:21" s="1" customFormat="1" ht="13.5" customHeight="1">
      <c r="A161" s="31" t="s">
        <v>225</v>
      </c>
      <c r="B161" s="31"/>
      <c r="C161" s="31"/>
      <c r="D161" s="31"/>
      <c r="E161" s="31"/>
      <c r="F161" s="31"/>
      <c r="G161" s="31"/>
      <c r="H161" s="22" t="s">
        <v>18</v>
      </c>
      <c r="I161" s="22"/>
      <c r="J161" s="22" t="s">
        <v>18</v>
      </c>
      <c r="K161" s="22"/>
      <c r="L161" s="23" t="s">
        <v>18</v>
      </c>
      <c r="M161" s="23"/>
      <c r="N161" s="32" t="s">
        <v>18</v>
      </c>
      <c r="O161" s="32"/>
      <c r="P161" s="32"/>
      <c r="Q161" s="32"/>
      <c r="R161" s="32"/>
      <c r="S161" s="24" t="s">
        <v>18</v>
      </c>
      <c r="T161" s="24"/>
      <c r="U161" s="24"/>
    </row>
    <row r="162" spans="1:21" s="1" customFormat="1" ht="13.5" customHeight="1">
      <c r="A162" s="25" t="s">
        <v>226</v>
      </c>
      <c r="B162" s="25"/>
      <c r="C162" s="25"/>
      <c r="D162" s="25"/>
      <c r="E162" s="25"/>
      <c r="F162" s="25"/>
      <c r="G162" s="25"/>
      <c r="H162" s="26" t="s">
        <v>227</v>
      </c>
      <c r="I162" s="26"/>
      <c r="J162" s="27" t="s">
        <v>38</v>
      </c>
      <c r="K162" s="27"/>
      <c r="L162" s="28" t="s">
        <v>63</v>
      </c>
      <c r="M162" s="28"/>
      <c r="N162" s="29" t="s">
        <v>63</v>
      </c>
      <c r="O162" s="29"/>
      <c r="P162" s="29"/>
      <c r="Q162" s="29"/>
      <c r="R162" s="29"/>
      <c r="S162" s="30" t="s">
        <v>63</v>
      </c>
      <c r="T162" s="30"/>
      <c r="U162" s="30"/>
    </row>
    <row r="163" spans="1:21" s="1" customFormat="1" ht="13.5" customHeight="1">
      <c r="A163" s="21" t="s">
        <v>18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s="1" customFormat="1" ht="13.5" customHeight="1">
      <c r="A164" s="12" t="s">
        <v>228</v>
      </c>
      <c r="B164" s="12"/>
      <c r="C164" s="12"/>
      <c r="D164" s="12"/>
      <c r="E164" s="12"/>
      <c r="F164" s="12"/>
      <c r="G164" s="12"/>
      <c r="H164" s="22" t="s">
        <v>229</v>
      </c>
      <c r="I164" s="22"/>
      <c r="J164" s="22" t="s">
        <v>38</v>
      </c>
      <c r="K164" s="22"/>
      <c r="L164" s="23" t="s">
        <v>63</v>
      </c>
      <c r="M164" s="23"/>
      <c r="N164" s="19" t="s">
        <v>63</v>
      </c>
      <c r="O164" s="19"/>
      <c r="P164" s="19"/>
      <c r="Q164" s="19"/>
      <c r="R164" s="19"/>
      <c r="S164" s="24" t="s">
        <v>63</v>
      </c>
      <c r="T164" s="24"/>
      <c r="U164" s="24"/>
    </row>
    <row r="165" spans="1:21" s="1" customFormat="1" ht="13.5" customHeight="1">
      <c r="A165" s="12" t="s">
        <v>18</v>
      </c>
      <c r="B165" s="12"/>
      <c r="C165" s="12"/>
      <c r="D165" s="12"/>
      <c r="E165" s="12"/>
      <c r="F165" s="12"/>
      <c r="G165" s="12"/>
      <c r="H165" s="13" t="s">
        <v>229</v>
      </c>
      <c r="I165" s="13"/>
      <c r="J165" s="13" t="s">
        <v>18</v>
      </c>
      <c r="K165" s="13"/>
      <c r="L165" s="18" t="s">
        <v>63</v>
      </c>
      <c r="M165" s="18"/>
      <c r="N165" s="19" t="s">
        <v>63</v>
      </c>
      <c r="O165" s="19"/>
      <c r="P165" s="19"/>
      <c r="Q165" s="19"/>
      <c r="R165" s="19"/>
      <c r="S165" s="20" t="s">
        <v>63</v>
      </c>
      <c r="T165" s="20"/>
      <c r="U165" s="20"/>
    </row>
    <row r="166" spans="1:21" s="1" customFormat="1" ht="13.5" customHeight="1">
      <c r="A166" s="12" t="s">
        <v>230</v>
      </c>
      <c r="B166" s="12"/>
      <c r="C166" s="12"/>
      <c r="D166" s="12"/>
      <c r="E166" s="12"/>
      <c r="F166" s="12"/>
      <c r="G166" s="12"/>
      <c r="H166" s="13" t="s">
        <v>231</v>
      </c>
      <c r="I166" s="13"/>
      <c r="J166" s="13" t="s">
        <v>232</v>
      </c>
      <c r="K166" s="13"/>
      <c r="L166" s="14">
        <f>4884198.6</f>
        <v>4884198.6</v>
      </c>
      <c r="M166" s="14"/>
      <c r="N166" s="15">
        <f>-3255902.64</f>
        <v>-3255902.64</v>
      </c>
      <c r="O166" s="15"/>
      <c r="P166" s="15"/>
      <c r="Q166" s="15"/>
      <c r="R166" s="15"/>
      <c r="S166" s="17">
        <f>8140101.24</f>
        <v>8140101.24</v>
      </c>
      <c r="T166" s="17"/>
      <c r="U166" s="17"/>
    </row>
    <row r="167" spans="1:21" s="1" customFormat="1" ht="13.5" customHeight="1">
      <c r="A167" s="12" t="s">
        <v>233</v>
      </c>
      <c r="B167" s="12"/>
      <c r="C167" s="12"/>
      <c r="D167" s="12"/>
      <c r="E167" s="12"/>
      <c r="F167" s="12"/>
      <c r="G167" s="12"/>
      <c r="H167" s="13" t="s">
        <v>234</v>
      </c>
      <c r="I167" s="13"/>
      <c r="J167" s="13" t="s">
        <v>235</v>
      </c>
      <c r="K167" s="13"/>
      <c r="L167" s="14">
        <f>-65027301.85</f>
        <v>-65027301.85</v>
      </c>
      <c r="M167" s="14"/>
      <c r="N167" s="15">
        <f>-N12</f>
        <v>-26414372.63</v>
      </c>
      <c r="O167" s="15"/>
      <c r="P167" s="15"/>
      <c r="Q167" s="15"/>
      <c r="R167" s="15"/>
      <c r="S167" s="16" t="s">
        <v>38</v>
      </c>
      <c r="T167" s="16"/>
      <c r="U167" s="16"/>
    </row>
    <row r="168" spans="1:21" s="1" customFormat="1" ht="13.5" customHeight="1">
      <c r="A168" s="12" t="s">
        <v>236</v>
      </c>
      <c r="B168" s="12"/>
      <c r="C168" s="12"/>
      <c r="D168" s="12"/>
      <c r="E168" s="12"/>
      <c r="F168" s="12"/>
      <c r="G168" s="12"/>
      <c r="H168" s="13" t="s">
        <v>237</v>
      </c>
      <c r="I168" s="13"/>
      <c r="J168" s="13" t="s">
        <v>238</v>
      </c>
      <c r="K168" s="13"/>
      <c r="L168" s="14">
        <f>69911500.45</f>
        <v>69911500.45</v>
      </c>
      <c r="M168" s="14"/>
      <c r="N168" s="15">
        <f>O44</f>
        <v>23158469.99</v>
      </c>
      <c r="O168" s="15"/>
      <c r="P168" s="15"/>
      <c r="Q168" s="15"/>
      <c r="R168" s="15"/>
      <c r="S168" s="16" t="s">
        <v>38</v>
      </c>
      <c r="T168" s="16"/>
      <c r="U168" s="16"/>
    </row>
    <row r="169" spans="1:21" s="1" customFormat="1" ht="13.5" customHeight="1">
      <c r="A169" s="8" t="s">
        <v>18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s="1" customFormat="1" ht="15.75" customHeight="1">
      <c r="A170" s="9" t="s">
        <v>18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s="1" customFormat="1" ht="13.5" customHeight="1">
      <c r="A171" s="10" t="s">
        <v>239</v>
      </c>
      <c r="B171" s="10"/>
      <c r="C171" s="10"/>
      <c r="D171" s="10"/>
      <c r="E171" s="10"/>
      <c r="F171" s="9" t="s">
        <v>18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s="1" customFormat="1" ht="13.5" customHeight="1">
      <c r="A172" s="11" t="s">
        <v>240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</sheetData>
  <sheetProtection/>
  <mergeCells count="1064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M42:N42"/>
    <mergeCell ref="O42:S42"/>
    <mergeCell ref="T42:U42"/>
    <mergeCell ref="A39:G39"/>
    <mergeCell ref="H39:I39"/>
    <mergeCell ref="J39:K39"/>
    <mergeCell ref="L39:M39"/>
    <mergeCell ref="N39:R39"/>
    <mergeCell ref="S39:U39"/>
    <mergeCell ref="I43:J43"/>
    <mergeCell ref="K43:L43"/>
    <mergeCell ref="M43:N43"/>
    <mergeCell ref="O43:S43"/>
    <mergeCell ref="A40:U40"/>
    <mergeCell ref="A41:U41"/>
    <mergeCell ref="A42:F42"/>
    <mergeCell ref="G42:H42"/>
    <mergeCell ref="I42:J42"/>
    <mergeCell ref="K42:L42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O46:S46"/>
    <mergeCell ref="T46:U46"/>
    <mergeCell ref="A45:F45"/>
    <mergeCell ref="G45:H45"/>
    <mergeCell ref="I45:J45"/>
    <mergeCell ref="K45:L45"/>
    <mergeCell ref="M45:N45"/>
    <mergeCell ref="O45:S45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O50:S50"/>
    <mergeCell ref="T50:U50"/>
    <mergeCell ref="A49:F49"/>
    <mergeCell ref="G49:H49"/>
    <mergeCell ref="I49:J49"/>
    <mergeCell ref="K49:L49"/>
    <mergeCell ref="M49:N49"/>
    <mergeCell ref="O49:S49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O54:S54"/>
    <mergeCell ref="T54:U54"/>
    <mergeCell ref="A53:F53"/>
    <mergeCell ref="G53:H53"/>
    <mergeCell ref="I53:J53"/>
    <mergeCell ref="K53:L53"/>
    <mergeCell ref="M53:N53"/>
    <mergeCell ref="O53:S53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O58:S58"/>
    <mergeCell ref="T58:U58"/>
    <mergeCell ref="A57:F57"/>
    <mergeCell ref="G57:H57"/>
    <mergeCell ref="I57:J57"/>
    <mergeCell ref="K57:L57"/>
    <mergeCell ref="M57:N57"/>
    <mergeCell ref="O57:S57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O62:S62"/>
    <mergeCell ref="T62:U62"/>
    <mergeCell ref="A61:F61"/>
    <mergeCell ref="G61:H61"/>
    <mergeCell ref="I61:J61"/>
    <mergeCell ref="K61:L61"/>
    <mergeCell ref="M61:N61"/>
    <mergeCell ref="O61:S61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O66:S66"/>
    <mergeCell ref="T66:U66"/>
    <mergeCell ref="A65:F65"/>
    <mergeCell ref="G65:H65"/>
    <mergeCell ref="I65:J65"/>
    <mergeCell ref="K65:L65"/>
    <mergeCell ref="M65:N65"/>
    <mergeCell ref="O65:S65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O70:S70"/>
    <mergeCell ref="T70:U70"/>
    <mergeCell ref="A69:F69"/>
    <mergeCell ref="G69:H69"/>
    <mergeCell ref="I69:J69"/>
    <mergeCell ref="K69:L69"/>
    <mergeCell ref="M69:N69"/>
    <mergeCell ref="O69:S69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O74:S74"/>
    <mergeCell ref="T74:U74"/>
    <mergeCell ref="A73:F73"/>
    <mergeCell ref="G73:H73"/>
    <mergeCell ref="I73:J73"/>
    <mergeCell ref="K73:L73"/>
    <mergeCell ref="M73:N73"/>
    <mergeCell ref="O73:S73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O78:S78"/>
    <mergeCell ref="T78:U78"/>
    <mergeCell ref="A77:F77"/>
    <mergeCell ref="G77:H77"/>
    <mergeCell ref="I77:J77"/>
    <mergeCell ref="K77:L77"/>
    <mergeCell ref="M77:N77"/>
    <mergeCell ref="O77:S77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O82:S82"/>
    <mergeCell ref="T82:U82"/>
    <mergeCell ref="A81:F81"/>
    <mergeCell ref="G81:H81"/>
    <mergeCell ref="I81:J81"/>
    <mergeCell ref="K81:L81"/>
    <mergeCell ref="M81:N81"/>
    <mergeCell ref="O81:S81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O86:S86"/>
    <mergeCell ref="T86:U86"/>
    <mergeCell ref="A85:F85"/>
    <mergeCell ref="G85:H85"/>
    <mergeCell ref="I85:J85"/>
    <mergeCell ref="K85:L85"/>
    <mergeCell ref="M85:N85"/>
    <mergeCell ref="O85:S85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O90:S90"/>
    <mergeCell ref="T90:U90"/>
    <mergeCell ref="A89:F89"/>
    <mergeCell ref="G89:H89"/>
    <mergeCell ref="I89:J89"/>
    <mergeCell ref="K89:L89"/>
    <mergeCell ref="M89:N89"/>
    <mergeCell ref="O89:S89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O94:S94"/>
    <mergeCell ref="T94:U94"/>
    <mergeCell ref="A93:F93"/>
    <mergeCell ref="G93:H93"/>
    <mergeCell ref="I93:J93"/>
    <mergeCell ref="K93:L93"/>
    <mergeCell ref="M93:N93"/>
    <mergeCell ref="O93:S93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O98:S98"/>
    <mergeCell ref="T98:U98"/>
    <mergeCell ref="A97:F97"/>
    <mergeCell ref="G97:H97"/>
    <mergeCell ref="I97:J97"/>
    <mergeCell ref="K97:L97"/>
    <mergeCell ref="M97:N97"/>
    <mergeCell ref="O97:S97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O150:S150"/>
    <mergeCell ref="T150:U150"/>
    <mergeCell ref="A149:F149"/>
    <mergeCell ref="G149:H149"/>
    <mergeCell ref="I149:J149"/>
    <mergeCell ref="K149:L149"/>
    <mergeCell ref="M149:N149"/>
    <mergeCell ref="O149:S149"/>
    <mergeCell ref="I151:J151"/>
    <mergeCell ref="K151:L151"/>
    <mergeCell ref="M151:N151"/>
    <mergeCell ref="O151:S151"/>
    <mergeCell ref="T149:U149"/>
    <mergeCell ref="A150:F150"/>
    <mergeCell ref="G150:H150"/>
    <mergeCell ref="I150:J150"/>
    <mergeCell ref="K150:L150"/>
    <mergeCell ref="M150:N150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A153:F153"/>
    <mergeCell ref="G153:H153"/>
    <mergeCell ref="I153:J153"/>
    <mergeCell ref="K153:L153"/>
    <mergeCell ref="M153:N153"/>
    <mergeCell ref="O153:S153"/>
    <mergeCell ref="A154:F154"/>
    <mergeCell ref="G154:H154"/>
    <mergeCell ref="I154:J154"/>
    <mergeCell ref="K154:L154"/>
    <mergeCell ref="M154:N154"/>
    <mergeCell ref="O154:S154"/>
    <mergeCell ref="G155:H155"/>
    <mergeCell ref="I155:J155"/>
    <mergeCell ref="K155:L155"/>
    <mergeCell ref="M155:N155"/>
    <mergeCell ref="O155:S155"/>
    <mergeCell ref="T153:U153"/>
    <mergeCell ref="T154:U154"/>
    <mergeCell ref="T155:U155"/>
    <mergeCell ref="A156:U156"/>
    <mergeCell ref="A157:U157"/>
    <mergeCell ref="A158:G158"/>
    <mergeCell ref="H158:I158"/>
    <mergeCell ref="J158:K158"/>
    <mergeCell ref="L158:M158"/>
    <mergeCell ref="N158:R158"/>
    <mergeCell ref="S158:U158"/>
    <mergeCell ref="A155:F155"/>
    <mergeCell ref="A159:G159"/>
    <mergeCell ref="H159:I159"/>
    <mergeCell ref="J159:K159"/>
    <mergeCell ref="L159:M159"/>
    <mergeCell ref="N159:R159"/>
    <mergeCell ref="S159:U159"/>
    <mergeCell ref="A160:G160"/>
    <mergeCell ref="H160:I160"/>
    <mergeCell ref="J160:K160"/>
    <mergeCell ref="L160:M160"/>
    <mergeCell ref="N160:R160"/>
    <mergeCell ref="S160:U160"/>
    <mergeCell ref="A161:G161"/>
    <mergeCell ref="H161:I161"/>
    <mergeCell ref="J161:K161"/>
    <mergeCell ref="L161:M161"/>
    <mergeCell ref="N161:R161"/>
    <mergeCell ref="S161:U161"/>
    <mergeCell ref="A162:G162"/>
    <mergeCell ref="H162:I162"/>
    <mergeCell ref="J162:K162"/>
    <mergeCell ref="L162:M162"/>
    <mergeCell ref="N162:R162"/>
    <mergeCell ref="S162:U162"/>
    <mergeCell ref="A163:U163"/>
    <mergeCell ref="A164:G164"/>
    <mergeCell ref="H164:I164"/>
    <mergeCell ref="J164:K164"/>
    <mergeCell ref="L164:M164"/>
    <mergeCell ref="N164:R164"/>
    <mergeCell ref="S164:U164"/>
    <mergeCell ref="A165:G165"/>
    <mergeCell ref="H165:I165"/>
    <mergeCell ref="J165:K165"/>
    <mergeCell ref="L165:M165"/>
    <mergeCell ref="N165:R165"/>
    <mergeCell ref="S165:U165"/>
    <mergeCell ref="A166:G166"/>
    <mergeCell ref="H166:I166"/>
    <mergeCell ref="J166:K166"/>
    <mergeCell ref="L166:M166"/>
    <mergeCell ref="N166:R166"/>
    <mergeCell ref="S166:U166"/>
    <mergeCell ref="S168:U168"/>
    <mergeCell ref="A167:G167"/>
    <mergeCell ref="H167:I167"/>
    <mergeCell ref="J167:K167"/>
    <mergeCell ref="L167:M167"/>
    <mergeCell ref="N167:R167"/>
    <mergeCell ref="S167:U167"/>
    <mergeCell ref="A169:U169"/>
    <mergeCell ref="A170:U170"/>
    <mergeCell ref="A171:E171"/>
    <mergeCell ref="F171:U171"/>
    <mergeCell ref="A172:U172"/>
    <mergeCell ref="A168:G168"/>
    <mergeCell ref="H168:I168"/>
    <mergeCell ref="J168:K168"/>
    <mergeCell ref="L168:M168"/>
    <mergeCell ref="N168:R168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0" max="255" man="1"/>
    <brk id="15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2018-07-03T03:59:48Z</cp:lastPrinted>
  <dcterms:created xsi:type="dcterms:W3CDTF">2018-07-03T03:56:01Z</dcterms:created>
  <dcterms:modified xsi:type="dcterms:W3CDTF">2018-07-03T04:00:38Z</dcterms:modified>
  <cp:category/>
  <cp:version/>
  <cp:contentType/>
  <cp:contentStatus/>
</cp:coreProperties>
</file>