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<sst xmlns="http://schemas.openxmlformats.org/spreadsheetml/2006/main" count="704" uniqueCount="253">
  <si>
    <t>ОТЧЕТ ОБ ИСПОЛНЕНИИ БЮДЖЕТА</t>
  </si>
  <si>
    <t>КОДЫ</t>
  </si>
  <si>
    <t xml:space="preserve">Форма по ОКУД </t>
  </si>
  <si>
    <t>0503117</t>
  </si>
  <si>
    <t>на 1 декабря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</si>
  <si>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</si>
  <si>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</si>
  <si>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</si>
  <si>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</si>
  <si>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</si>
  <si>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</si>
  <si>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</si>
  <si>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</si>
  <si>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</si>
  <si>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</si>
  <si>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</si>
  <si>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</si>
  <si>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</si>
  <si>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</si>
  <si>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</si>
  <si>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</si>
  <si>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</si>
  <si>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</si>
  <si>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</si>
  <si>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</si>
  <si>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</si>
  <si>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</si>
  <si>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</si>
  <si>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</si>
  <si>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</si>
  <si>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</si>
  <si>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</si>
  <si>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</si>
  <si>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</si>
  <si>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</si>
  <si>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</si>
  <si>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</si>
  <si>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</si>
  <si>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</si>
  <si>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</si>
  <si>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</si>
  <si>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</si>
  <si>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</si>
  <si>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</si>
  <si>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</si>
  <si>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</si>
  <si>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</si>
  <si>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</si>
  <si>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</si>
  <si>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</si>
  <si>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</si>
  <si>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</si>
  <si>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</si>
  <si>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</si>
  <si>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</si>
  <si>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 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</si>
  <si>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</si>
  <si>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</si>
  <si>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</si>
  <si>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</si>
  <si>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</si>
  <si>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</si>
  <si>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</si>
  <si>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</si>
  <si>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</si>
  <si>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</si>
  <si>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</si>
  <si>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</si>
  <si>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</si>
  <si>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</si>
  <si>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</si>
  <si>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</si>
  <si>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</si>
  <si>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</si>
  <si>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</si>
  <si>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</si>
  <si>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</si>
  <si>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</si>
  <si>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</si>
  <si>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</si>
  <si>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</si>
  <si>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</si>
  <si>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</si>
  <si>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</si>
  <si>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</si>
  <si>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</si>
  <si>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</si>
  <si>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</si>
  <si>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</si>
  <si>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</si>
  <si>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</si>
  <si>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</si>
  <si>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</si>
  <si>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</si>
  <si>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</si>
  <si>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</si>
  <si>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</si>
  <si>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</si>
  <si>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</si>
  <si>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</si>
  <si>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</si>
  <si>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</si>
  <si>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</si>
  <si>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</si>
  <si>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</si>
  <si>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</si>
  <si>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</si>
  <si>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</si>
  <si>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</si>
  <si>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</si>
  <si>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</si>
  <si>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</si>
  <si>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</si>
  <si>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</si>
  <si>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</si>
  <si>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</si>
  <si>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</si>
  <si>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</si>
  <si>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</si>
  <si>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</si>
  <si>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</si>
  <si>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</si>
  <si>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</si>
  <si>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</si>
  <si>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</si>
  <si>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</si>
  <si>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</si>
  <si>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</si>
  <si>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</si>
  <si>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</si>
  <si>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</si>
  <si>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</si>
  <si>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</si>
  <si>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</si>
  <si>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</si>
  <si>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</si>
  <si>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</si>
  <si>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</si>
  <si>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</si>
  <si>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</si>
  <si>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</si>
  <si>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</si>
  <si>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</si>
  <si>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</si>
  <si>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</si>
  <si>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</si>
  <si>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</si>
  <si>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</si>
  <si>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</si>
  <si>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</si>
  <si>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</si>
  <si>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</si>
  <si>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</si>
  <si>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</si>
  <si>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Штрафы за нарушения законодательства о налогах и сборах, законодательства о страховых взносах</t>
  </si>
  <si>
    <t>650 0113 0104300590 853</t>
  </si>
  <si>
    <t>292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</si>
  <si>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</si>
  <si>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</si>
  <si>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</si>
  <si>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</si>
  <si>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</si>
  <si>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</si>
  <si>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</si>
  <si>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650 0113 6000082630 244</t>
  </si>
  <si>
    <t>650 0113 60000S2630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</si>
  <si>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</si>
  <si>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</si>
  <si>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</si>
  <si>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</si>
  <si>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</si>
  <si>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</si>
  <si>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</si>
  <si>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</si>
  <si>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</si>
  <si>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</si>
  <si>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</si>
  <si>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</si>
  <si>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Страхование</t>
  </si>
  <si>
    <t>650 0314 0603082300 244</t>
  </si>
  <si>
    <t>227</t>
  </si>
  <si>
    <t>650 0314 06030S2300 113</t>
  </si>
  <si>
    <t>650 0314 06030S2300 244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</si>
  <si>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</si>
  <si>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</si>
  <si>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</si>
  <si>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</si>
  <si>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</si>
  <si>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</si>
  <si>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</si>
  <si>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</si>
  <si>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</si>
  <si>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</si>
  <si>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650 0409 0301089190 244</t>
  </si>
  <si>
    <t>650 0409 0301094190 540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</si>
  <si>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</si>
  <si>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</si>
  <si>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</si>
  <si>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</si>
  <si>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</si>
  <si>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650 0503 0501076100 244</t>
  </si>
  <si>
    <t>650 0503 0503076500 244</t>
  </si>
  <si>
    <t>650 0503 0504076500 244</t>
  </si>
  <si>
    <t>650 0503 0505099990 244</t>
  </si>
  <si>
    <t>650 0505 0104502040 540</t>
  </si>
  <si>
    <t>650 0605 6000084290 121</t>
  </si>
  <si>
    <t>650 0605 6000084290 129</t>
  </si>
  <si>
    <t>650 0707 0104500540 540</t>
  </si>
  <si>
    <t>650 0707 0104575150 540</t>
  </si>
  <si>
    <t>650 0707 0202074060 244</t>
  </si>
  <si>
    <t>650 0707 0202075060 111</t>
  </si>
  <si>
    <t>650 0707 0202075060 119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</si>
  <si>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</si>
  <si>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</si>
  <si>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</si>
  <si>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</si>
  <si>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</si>
  <si>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</si>
  <si>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</si>
  <si>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</si>
  <si>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</si>
  <si>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</si>
  <si>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</si>
  <si>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</si>
  <si>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</si>
  <si>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</si>
  <si>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</si>
  <si>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</si>
  <si>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</si>
  <si>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</si>
  <si>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</si>
  <si>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</si>
  <si>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</si>
  <si>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</si>
  <si>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</si>
  <si>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</si>
  <si>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</si>
  <si>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</si>
  <si>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</si>
  <si>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</si>
  <si>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</si>
  <si>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</si>
  <si>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</si>
  <si>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</si>
  <si>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</si>
  <si>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</si>
  <si>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</si>
  <si>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</si>
  <si>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</si>
  <si>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</si>
  <si>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</si>
  <si>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2 декабря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</si>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</sst>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6"/>
  <sheetViews>
    <sheetView tabSelected="1" zoomScalePageLayoutView="0" workbookViewId="0" topLeftCell="A1">
      <selection activeCell="N41" sqref="N41:R4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1" t="s">
        <v>5</v>
      </c>
      <c r="S3" s="11"/>
      <c r="T3" s="11"/>
      <c r="U3" s="4">
        <v>43800</v>
      </c>
    </row>
    <row r="4" spans="1:21" s="1" customFormat="1" ht="13.5" customHeight="1">
      <c r="A4" s="9" t="s">
        <v>6</v>
      </c>
      <c r="B4" s="9"/>
      <c r="C4" s="9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6" t="s">
        <v>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19</v>
      </c>
      <c r="B10" s="43"/>
      <c r="C10" s="43"/>
      <c r="D10" s="43"/>
      <c r="E10" s="43"/>
      <c r="F10" s="43"/>
      <c r="G10" s="43"/>
      <c r="H10" s="43" t="s">
        <v>20</v>
      </c>
      <c r="I10" s="43"/>
      <c r="J10" s="43" t="s">
        <v>21</v>
      </c>
      <c r="K10" s="43"/>
      <c r="L10" s="44" t="s">
        <v>22</v>
      </c>
      <c r="M10" s="44"/>
      <c r="N10" s="44" t="s">
        <v>23</v>
      </c>
      <c r="O10" s="44"/>
      <c r="P10" s="44"/>
      <c r="Q10" s="44"/>
      <c r="R10" s="44"/>
      <c r="S10" s="45" t="s">
        <v>24</v>
      </c>
      <c r="T10" s="45"/>
      <c r="U10" s="45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57541688.45</f>
        <v>57541688.45</v>
      </c>
      <c r="M12" s="36"/>
      <c r="N12" s="36">
        <f>53577462.29</f>
        <v>53577462.29</v>
      </c>
      <c r="O12" s="36"/>
      <c r="P12" s="36"/>
      <c r="Q12" s="36"/>
      <c r="R12" s="36"/>
      <c r="S12" s="52">
        <f>3964226.16</f>
        <v>3964226.16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350000</f>
        <v>350000</v>
      </c>
      <c r="M13" s="54"/>
      <c r="N13" s="54">
        <f>319191.76</f>
        <v>319191.76</v>
      </c>
      <c r="O13" s="54"/>
      <c r="P13" s="54"/>
      <c r="Q13" s="54"/>
      <c r="R13" s="54"/>
      <c r="S13" s="55">
        <f>L13-N13</f>
        <v>30808.23999999999</v>
      </c>
      <c r="T13" s="55"/>
      <c r="U13" s="55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4">
        <f>25762.71</f>
        <v>25762.71</v>
      </c>
      <c r="M14" s="54"/>
      <c r="N14" s="54">
        <f>38488.39</f>
        <v>38488.39</v>
      </c>
      <c r="O14" s="54"/>
      <c r="P14" s="54"/>
      <c r="Q14" s="54"/>
      <c r="R14" s="54"/>
      <c r="S14" s="55">
        <f aca="true" t="shared" si="0" ref="S14:S41">L14-N14</f>
        <v>-12725.68</v>
      </c>
      <c r="T14" s="55"/>
      <c r="U14" s="55"/>
    </row>
    <row r="15" spans="1:21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40</v>
      </c>
      <c r="K15" s="27"/>
      <c r="L15" s="54">
        <f>2869857.85</f>
        <v>2869857.85</v>
      </c>
      <c r="M15" s="54"/>
      <c r="N15" s="54">
        <f>2612632.24</f>
        <v>2612632.24</v>
      </c>
      <c r="O15" s="54"/>
      <c r="P15" s="54"/>
      <c r="Q15" s="54"/>
      <c r="R15" s="54"/>
      <c r="S15" s="55">
        <f t="shared" si="0"/>
        <v>257225.60999999987</v>
      </c>
      <c r="T15" s="55"/>
      <c r="U15" s="55"/>
    </row>
    <row r="16" spans="1:21" s="1" customFormat="1" ht="54.75" customHeight="1">
      <c r="A16" s="25" t="s">
        <v>41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42</v>
      </c>
      <c r="K16" s="27"/>
      <c r="L16" s="54">
        <f>15511.27</f>
        <v>15511.27</v>
      </c>
      <c r="M16" s="54"/>
      <c r="N16" s="54">
        <f>19238.8</f>
        <v>19238.8</v>
      </c>
      <c r="O16" s="54"/>
      <c r="P16" s="54"/>
      <c r="Q16" s="54"/>
      <c r="R16" s="54"/>
      <c r="S16" s="55">
        <f t="shared" si="0"/>
        <v>-3727.529999999999</v>
      </c>
      <c r="T16" s="55"/>
      <c r="U16" s="55"/>
    </row>
    <row r="17" spans="1:21" s="1" customFormat="1" ht="45" customHeight="1">
      <c r="A17" s="25" t="s">
        <v>43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44</v>
      </c>
      <c r="K17" s="27"/>
      <c r="L17" s="54">
        <f>3844189.99</f>
        <v>3844189.99</v>
      </c>
      <c r="M17" s="54"/>
      <c r="N17" s="54">
        <f>3509767.72</f>
        <v>3509767.72</v>
      </c>
      <c r="O17" s="54"/>
      <c r="P17" s="54"/>
      <c r="Q17" s="54"/>
      <c r="R17" s="54"/>
      <c r="S17" s="55">
        <f t="shared" si="0"/>
        <v>334422.27</v>
      </c>
      <c r="T17" s="55"/>
      <c r="U17" s="55"/>
    </row>
    <row r="18" spans="1:21" s="1" customFormat="1" ht="45" customHeight="1">
      <c r="A18" s="25" t="s">
        <v>45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46</v>
      </c>
      <c r="K18" s="27"/>
      <c r="L18" s="54">
        <f>-446415.21</f>
        <v>-446415.21</v>
      </c>
      <c r="M18" s="54"/>
      <c r="N18" s="54">
        <f>-393472.69</f>
        <v>-393472.69</v>
      </c>
      <c r="O18" s="54"/>
      <c r="P18" s="54"/>
      <c r="Q18" s="54"/>
      <c r="R18" s="54"/>
      <c r="S18" s="55">
        <f t="shared" si="0"/>
        <v>-52942.52000000002</v>
      </c>
      <c r="T18" s="55"/>
      <c r="U18" s="55"/>
    </row>
    <row r="19" spans="1:21" s="1" customFormat="1" ht="45" customHeight="1">
      <c r="A19" s="25" t="s">
        <v>47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48</v>
      </c>
      <c r="K19" s="27"/>
      <c r="L19" s="54">
        <f>5879000</f>
        <v>5879000</v>
      </c>
      <c r="M19" s="54"/>
      <c r="N19" s="54">
        <f>5329694.83</f>
        <v>5329694.83</v>
      </c>
      <c r="O19" s="54"/>
      <c r="P19" s="54"/>
      <c r="Q19" s="54"/>
      <c r="R19" s="54"/>
      <c r="S19" s="55">
        <f t="shared" si="0"/>
        <v>549305.1699999999</v>
      </c>
      <c r="T19" s="55"/>
      <c r="U19" s="55"/>
    </row>
    <row r="20" spans="1:21" s="1" customFormat="1" ht="66" customHeight="1">
      <c r="A20" s="25" t="s">
        <v>49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50</v>
      </c>
      <c r="K20" s="27"/>
      <c r="L20" s="54">
        <f>1000</f>
        <v>1000</v>
      </c>
      <c r="M20" s="54"/>
      <c r="N20" s="54">
        <f>3022.54</f>
        <v>3022.54</v>
      </c>
      <c r="O20" s="54"/>
      <c r="P20" s="54"/>
      <c r="Q20" s="54"/>
      <c r="R20" s="54"/>
      <c r="S20" s="55">
        <f t="shared" si="0"/>
        <v>-2022.54</v>
      </c>
      <c r="T20" s="55"/>
      <c r="U20" s="55"/>
    </row>
    <row r="21" spans="1:21" s="1" customFormat="1" ht="24" customHeight="1">
      <c r="A21" s="25" t="s">
        <v>51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52</v>
      </c>
      <c r="K21" s="27"/>
      <c r="L21" s="54">
        <f>270000</f>
        <v>270000</v>
      </c>
      <c r="M21" s="54"/>
      <c r="N21" s="54">
        <f>14889.32</f>
        <v>14889.32</v>
      </c>
      <c r="O21" s="54"/>
      <c r="P21" s="54"/>
      <c r="Q21" s="54"/>
      <c r="R21" s="54"/>
      <c r="S21" s="55">
        <f t="shared" si="0"/>
        <v>255110.68</v>
      </c>
      <c r="T21" s="55"/>
      <c r="U21" s="55"/>
    </row>
    <row r="22" spans="1:21" s="1" customFormat="1" ht="13.5" customHeight="1">
      <c r="A22" s="25" t="s">
        <v>53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54</v>
      </c>
      <c r="K22" s="27"/>
      <c r="L22" s="54">
        <f>699852.44</f>
        <v>699852.44</v>
      </c>
      <c r="M22" s="54"/>
      <c r="N22" s="54">
        <f>746646.25</f>
        <v>746646.25</v>
      </c>
      <c r="O22" s="54"/>
      <c r="P22" s="54"/>
      <c r="Q22" s="54"/>
      <c r="R22" s="54"/>
      <c r="S22" s="55">
        <f t="shared" si="0"/>
        <v>-46793.810000000056</v>
      </c>
      <c r="T22" s="55"/>
      <c r="U22" s="55"/>
    </row>
    <row r="23" spans="1:21" s="1" customFormat="1" ht="24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73.78</f>
        <v>73.78</v>
      </c>
      <c r="M23" s="54"/>
      <c r="N23" s="54">
        <f>73.78</f>
        <v>73.78</v>
      </c>
      <c r="O23" s="54"/>
      <c r="P23" s="54"/>
      <c r="Q23" s="54"/>
      <c r="R23" s="54"/>
      <c r="S23" s="55">
        <f t="shared" si="0"/>
        <v>0</v>
      </c>
      <c r="T23" s="55"/>
      <c r="U23" s="55"/>
    </row>
    <row r="24" spans="1:21" s="1" customFormat="1" ht="13.5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50364</f>
        <v>50364</v>
      </c>
      <c r="M24" s="54"/>
      <c r="N24" s="54">
        <f>50364</f>
        <v>50364</v>
      </c>
      <c r="O24" s="54"/>
      <c r="P24" s="54"/>
      <c r="Q24" s="54"/>
      <c r="R24" s="54"/>
      <c r="S24" s="55">
        <f t="shared" si="0"/>
        <v>0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380000</f>
        <v>380000</v>
      </c>
      <c r="M25" s="54"/>
      <c r="N25" s="54">
        <f>256642.05</f>
        <v>256642.05</v>
      </c>
      <c r="O25" s="54"/>
      <c r="P25" s="54"/>
      <c r="Q25" s="54"/>
      <c r="R25" s="54"/>
      <c r="S25" s="55">
        <f t="shared" si="0"/>
        <v>123357.95000000001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650000</f>
        <v>650000</v>
      </c>
      <c r="M26" s="54"/>
      <c r="N26" s="54">
        <f>683346.82</f>
        <v>683346.82</v>
      </c>
      <c r="O26" s="54"/>
      <c r="P26" s="54"/>
      <c r="Q26" s="54"/>
      <c r="R26" s="54"/>
      <c r="S26" s="55">
        <f t="shared" si="0"/>
        <v>-33346.81999999995</v>
      </c>
      <c r="T26" s="55"/>
      <c r="U26" s="55"/>
    </row>
    <row r="27" spans="1:21" s="1" customFormat="1" ht="24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4">
        <f>100000</f>
        <v>100000</v>
      </c>
      <c r="M27" s="54"/>
      <c r="N27" s="54">
        <f>122164.94</f>
        <v>122164.94</v>
      </c>
      <c r="O27" s="54"/>
      <c r="P27" s="54"/>
      <c r="Q27" s="54"/>
      <c r="R27" s="54"/>
      <c r="S27" s="55">
        <f t="shared" si="0"/>
        <v>-22164.940000000002</v>
      </c>
      <c r="T27" s="55"/>
      <c r="U27" s="55"/>
    </row>
    <row r="28" spans="1:21" s="1" customFormat="1" ht="4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5623.3</f>
        <v>5623.3</v>
      </c>
      <c r="M28" s="54"/>
      <c r="N28" s="54">
        <f>5623.3</f>
        <v>5623.3</v>
      </c>
      <c r="O28" s="54"/>
      <c r="P28" s="54"/>
      <c r="Q28" s="54"/>
      <c r="R28" s="54"/>
      <c r="S28" s="55">
        <f t="shared" si="0"/>
        <v>0</v>
      </c>
      <c r="T28" s="55"/>
      <c r="U28" s="55"/>
    </row>
    <row r="29" spans="1:21" s="1" customFormat="1" ht="33.75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130000</f>
        <v>130000</v>
      </c>
      <c r="M29" s="54"/>
      <c r="N29" s="54">
        <f>127000</f>
        <v>127000</v>
      </c>
      <c r="O29" s="54"/>
      <c r="P29" s="54"/>
      <c r="Q29" s="54"/>
      <c r="R29" s="54"/>
      <c r="S29" s="55">
        <f t="shared" si="0"/>
        <v>3000</v>
      </c>
      <c r="T29" s="55"/>
      <c r="U29" s="55"/>
    </row>
    <row r="30" spans="1:21" s="1" customFormat="1" ht="24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1140000</f>
        <v>1140000</v>
      </c>
      <c r="M30" s="54"/>
      <c r="N30" s="54">
        <f>801322.44</f>
        <v>801322.44</v>
      </c>
      <c r="O30" s="54"/>
      <c r="P30" s="54"/>
      <c r="Q30" s="54"/>
      <c r="R30" s="54"/>
      <c r="S30" s="55">
        <f t="shared" si="0"/>
        <v>338677.56000000006</v>
      </c>
      <c r="T30" s="55"/>
      <c r="U30" s="55"/>
    </row>
    <row r="31" spans="1:21" s="1" customFormat="1" ht="45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930000</f>
        <v>930000</v>
      </c>
      <c r="M31" s="54"/>
      <c r="N31" s="54">
        <f>923993.72</f>
        <v>923993.72</v>
      </c>
      <c r="O31" s="54"/>
      <c r="P31" s="54"/>
      <c r="Q31" s="54"/>
      <c r="R31" s="54"/>
      <c r="S31" s="55">
        <f t="shared" si="0"/>
        <v>6006.280000000028</v>
      </c>
      <c r="T31" s="55"/>
      <c r="U31" s="55"/>
    </row>
    <row r="32" spans="1:21" s="1" customFormat="1" ht="24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325000</f>
        <v>325000</v>
      </c>
      <c r="M32" s="54"/>
      <c r="N32" s="54">
        <f>302548.89</f>
        <v>302548.89</v>
      </c>
      <c r="O32" s="54"/>
      <c r="P32" s="54"/>
      <c r="Q32" s="54"/>
      <c r="R32" s="54"/>
      <c r="S32" s="55">
        <f t="shared" si="0"/>
        <v>22451.109999999986</v>
      </c>
      <c r="T32" s="55"/>
      <c r="U32" s="55"/>
    </row>
    <row r="33" spans="1:21" s="1" customFormat="1" ht="13.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350000</f>
        <v>350000</v>
      </c>
      <c r="M33" s="54"/>
      <c r="N33" s="54">
        <f>346108.52</f>
        <v>346108.52</v>
      </c>
      <c r="O33" s="54"/>
      <c r="P33" s="54"/>
      <c r="Q33" s="54"/>
      <c r="R33" s="54"/>
      <c r="S33" s="55">
        <f t="shared" si="0"/>
        <v>3891.4799999999814</v>
      </c>
      <c r="T33" s="55"/>
      <c r="U33" s="55"/>
    </row>
    <row r="34" spans="1:21" s="1" customFormat="1" ht="45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6890.22</f>
        <v>6890.22</v>
      </c>
      <c r="M34" s="54"/>
      <c r="N34" s="54">
        <f>6890.22</f>
        <v>6890.22</v>
      </c>
      <c r="O34" s="54"/>
      <c r="P34" s="54"/>
      <c r="Q34" s="54"/>
      <c r="R34" s="54"/>
      <c r="S34" s="55">
        <f t="shared" si="0"/>
        <v>0</v>
      </c>
      <c r="T34" s="55"/>
      <c r="U34" s="55"/>
    </row>
    <row r="35" spans="1:21" s="1" customFormat="1" ht="24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27692100</f>
        <v>27692100</v>
      </c>
      <c r="M35" s="54"/>
      <c r="N35" s="54">
        <f>25583761.52</f>
        <v>25583761.52</v>
      </c>
      <c r="O35" s="54"/>
      <c r="P35" s="54"/>
      <c r="Q35" s="54"/>
      <c r="R35" s="54"/>
      <c r="S35" s="55">
        <f t="shared" si="0"/>
        <v>2108338.4800000004</v>
      </c>
      <c r="T35" s="55"/>
      <c r="U35" s="55"/>
    </row>
    <row r="36" spans="1:21" s="1" customFormat="1" ht="13.5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135445.22</f>
        <v>135445.22</v>
      </c>
      <c r="M36" s="54"/>
      <c r="N36" s="54">
        <f>135445.22</f>
        <v>135445.22</v>
      </c>
      <c r="O36" s="54"/>
      <c r="P36" s="54"/>
      <c r="Q36" s="54"/>
      <c r="R36" s="54"/>
      <c r="S36" s="55">
        <f t="shared" si="0"/>
        <v>0</v>
      </c>
      <c r="T36" s="55"/>
      <c r="U36" s="55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4">
        <f>2209.33</f>
        <v>2209.33</v>
      </c>
      <c r="M37" s="54"/>
      <c r="N37" s="54">
        <f>2209.33</f>
        <v>2209.33</v>
      </c>
      <c r="O37" s="54"/>
      <c r="P37" s="54"/>
      <c r="Q37" s="54"/>
      <c r="R37" s="54"/>
      <c r="S37" s="55">
        <f t="shared" si="0"/>
        <v>0</v>
      </c>
      <c r="T37" s="55"/>
      <c r="U37" s="55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4">
        <f>435500</f>
        <v>435500</v>
      </c>
      <c r="M38" s="54"/>
      <c r="N38" s="54">
        <f>435500</f>
        <v>435500</v>
      </c>
      <c r="O38" s="54"/>
      <c r="P38" s="54"/>
      <c r="Q38" s="54"/>
      <c r="R38" s="54"/>
      <c r="S38" s="55">
        <f t="shared" si="0"/>
        <v>0</v>
      </c>
      <c r="T38" s="55"/>
      <c r="U38" s="55"/>
    </row>
    <row r="39" spans="1:21" s="1" customFormat="1" ht="24" customHeight="1">
      <c r="A39" s="25" t="s">
        <v>87</v>
      </c>
      <c r="B39" s="25"/>
      <c r="C39" s="25"/>
      <c r="D39" s="25"/>
      <c r="E39" s="25"/>
      <c r="F39" s="25"/>
      <c r="G39" s="25"/>
      <c r="H39" s="27" t="s">
        <v>32</v>
      </c>
      <c r="I39" s="27"/>
      <c r="J39" s="27" t="s">
        <v>88</v>
      </c>
      <c r="K39" s="27"/>
      <c r="L39" s="54">
        <f>110572.68</f>
        <v>110572.68</v>
      </c>
      <c r="M39" s="54"/>
      <c r="N39" s="54">
        <f>110572.68</f>
        <v>110572.68</v>
      </c>
      <c r="O39" s="54"/>
      <c r="P39" s="54"/>
      <c r="Q39" s="54"/>
      <c r="R39" s="54"/>
      <c r="S39" s="55">
        <f t="shared" si="0"/>
        <v>0</v>
      </c>
      <c r="T39" s="55"/>
      <c r="U39" s="55"/>
    </row>
    <row r="40" spans="1:21" s="1" customFormat="1" ht="24" customHeight="1">
      <c r="A40" s="25" t="s">
        <v>89</v>
      </c>
      <c r="B40" s="25"/>
      <c r="C40" s="25"/>
      <c r="D40" s="25"/>
      <c r="E40" s="25"/>
      <c r="F40" s="25"/>
      <c r="G40" s="25"/>
      <c r="H40" s="27" t="s">
        <v>32</v>
      </c>
      <c r="I40" s="27"/>
      <c r="J40" s="27" t="s">
        <v>90</v>
      </c>
      <c r="K40" s="27"/>
      <c r="L40" s="54">
        <f>11541450.87</f>
        <v>11541450.87</v>
      </c>
      <c r="M40" s="54"/>
      <c r="N40" s="54">
        <f>11436095.7</f>
        <v>11436095.7</v>
      </c>
      <c r="O40" s="54"/>
      <c r="P40" s="54"/>
      <c r="Q40" s="54"/>
      <c r="R40" s="54"/>
      <c r="S40" s="55">
        <f t="shared" si="0"/>
        <v>105355.16999999993</v>
      </c>
      <c r="T40" s="55"/>
      <c r="U40" s="55"/>
    </row>
    <row r="41" spans="1:21" s="1" customFormat="1" ht="13.5" customHeight="1">
      <c r="A41" s="25" t="s">
        <v>91</v>
      </c>
      <c r="B41" s="25"/>
      <c r="C41" s="25"/>
      <c r="D41" s="25"/>
      <c r="E41" s="25"/>
      <c r="F41" s="25"/>
      <c r="G41" s="25"/>
      <c r="H41" s="27" t="s">
        <v>32</v>
      </c>
      <c r="I41" s="27"/>
      <c r="J41" s="27" t="s">
        <v>92</v>
      </c>
      <c r="K41" s="27"/>
      <c r="L41" s="54">
        <f>47700</f>
        <v>47700</v>
      </c>
      <c r="M41" s="54"/>
      <c r="N41" s="54">
        <f>47700</f>
        <v>47700</v>
      </c>
      <c r="O41" s="54"/>
      <c r="P41" s="54"/>
      <c r="Q41" s="54"/>
      <c r="R41" s="54"/>
      <c r="S41" s="55">
        <f t="shared" si="0"/>
        <v>0</v>
      </c>
      <c r="T41" s="55"/>
      <c r="U41" s="55"/>
    </row>
    <row r="42" spans="1:21" s="1" customFormat="1" ht="13.5" customHeight="1">
      <c r="A42" s="53" t="s">
        <v>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s="1" customFormat="1" ht="13.5" customHeight="1">
      <c r="A43" s="42" t="s">
        <v>93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1" customFormat="1" ht="34.5" customHeight="1">
      <c r="A44" s="43" t="s">
        <v>19</v>
      </c>
      <c r="B44" s="43"/>
      <c r="C44" s="43"/>
      <c r="D44" s="43"/>
      <c r="E44" s="43"/>
      <c r="F44" s="43"/>
      <c r="G44" s="43" t="s">
        <v>20</v>
      </c>
      <c r="H44" s="43"/>
      <c r="I44" s="43" t="s">
        <v>94</v>
      </c>
      <c r="J44" s="43"/>
      <c r="K44" s="44" t="s">
        <v>95</v>
      </c>
      <c r="L44" s="44"/>
      <c r="M44" s="44" t="s">
        <v>22</v>
      </c>
      <c r="N44" s="44"/>
      <c r="O44" s="44" t="s">
        <v>23</v>
      </c>
      <c r="P44" s="44"/>
      <c r="Q44" s="44"/>
      <c r="R44" s="44"/>
      <c r="S44" s="44"/>
      <c r="T44" s="45" t="s">
        <v>24</v>
      </c>
      <c r="U44" s="45"/>
    </row>
    <row r="45" spans="1:21" s="1" customFormat="1" ht="13.5" customHeight="1">
      <c r="A45" s="38" t="s">
        <v>25</v>
      </c>
      <c r="B45" s="38"/>
      <c r="C45" s="38"/>
      <c r="D45" s="38"/>
      <c r="E45" s="38"/>
      <c r="F45" s="38"/>
      <c r="G45" s="38" t="s">
        <v>26</v>
      </c>
      <c r="H45" s="38"/>
      <c r="I45" s="38" t="s">
        <v>27</v>
      </c>
      <c r="J45" s="38"/>
      <c r="K45" s="39" t="s">
        <v>28</v>
      </c>
      <c r="L45" s="39"/>
      <c r="M45" s="39" t="s">
        <v>29</v>
      </c>
      <c r="N45" s="39"/>
      <c r="O45" s="39" t="s">
        <v>30</v>
      </c>
      <c r="P45" s="39"/>
      <c r="Q45" s="39"/>
      <c r="R45" s="39"/>
      <c r="S45" s="39"/>
      <c r="T45" s="40" t="s">
        <v>96</v>
      </c>
      <c r="U45" s="40"/>
    </row>
    <row r="46" spans="1:21" s="1" customFormat="1" ht="13.5" customHeight="1">
      <c r="A46" s="33" t="s">
        <v>97</v>
      </c>
      <c r="B46" s="33"/>
      <c r="C46" s="33"/>
      <c r="D46" s="33"/>
      <c r="E46" s="33"/>
      <c r="F46" s="33"/>
      <c r="G46" s="34" t="s">
        <v>98</v>
      </c>
      <c r="H46" s="34"/>
      <c r="I46" s="34" t="s">
        <v>33</v>
      </c>
      <c r="J46" s="34"/>
      <c r="K46" s="51" t="s">
        <v>33</v>
      </c>
      <c r="L46" s="51"/>
      <c r="M46" s="36">
        <f>63499950.32</f>
        <v>63499950.32</v>
      </c>
      <c r="N46" s="36"/>
      <c r="O46" s="36">
        <f>53711682.6</f>
        <v>53711682.6</v>
      </c>
      <c r="P46" s="36"/>
      <c r="Q46" s="36"/>
      <c r="R46" s="36"/>
      <c r="S46" s="36"/>
      <c r="T46" s="52">
        <f>9788267.72</f>
        <v>9788267.72</v>
      </c>
      <c r="U46" s="52"/>
    </row>
    <row r="47" spans="1:21" s="1" customFormat="1" ht="13.5" customHeight="1">
      <c r="A47" s="12" t="s">
        <v>99</v>
      </c>
      <c r="B47" s="12"/>
      <c r="C47" s="12"/>
      <c r="D47" s="12"/>
      <c r="E47" s="12"/>
      <c r="F47" s="12"/>
      <c r="G47" s="13" t="s">
        <v>98</v>
      </c>
      <c r="H47" s="13"/>
      <c r="I47" s="13" t="s">
        <v>100</v>
      </c>
      <c r="J47" s="13"/>
      <c r="K47" s="21" t="s">
        <v>101</v>
      </c>
      <c r="L47" s="21"/>
      <c r="M47" s="15">
        <f>1419400</f>
        <v>1419400</v>
      </c>
      <c r="N47" s="15"/>
      <c r="O47" s="15">
        <f>1233532.82</f>
        <v>1233532.82</v>
      </c>
      <c r="P47" s="15"/>
      <c r="Q47" s="15"/>
      <c r="R47" s="15"/>
      <c r="S47" s="15"/>
      <c r="T47" s="50">
        <f>185867.18</f>
        <v>185867.18</v>
      </c>
      <c r="U47" s="50"/>
    </row>
    <row r="48" spans="1:21" s="1" customFormat="1" ht="13.5" customHeight="1">
      <c r="A48" s="12" t="s">
        <v>102</v>
      </c>
      <c r="B48" s="12"/>
      <c r="C48" s="12"/>
      <c r="D48" s="12"/>
      <c r="E48" s="12"/>
      <c r="F48" s="12"/>
      <c r="G48" s="13" t="s">
        <v>98</v>
      </c>
      <c r="H48" s="13"/>
      <c r="I48" s="13" t="s">
        <v>103</v>
      </c>
      <c r="J48" s="13"/>
      <c r="K48" s="21" t="s">
        <v>104</v>
      </c>
      <c r="L48" s="21"/>
      <c r="M48" s="15">
        <f>428700</f>
        <v>428700</v>
      </c>
      <c r="N48" s="15"/>
      <c r="O48" s="15">
        <f>322110.93</f>
        <v>322110.93</v>
      </c>
      <c r="P48" s="15"/>
      <c r="Q48" s="15"/>
      <c r="R48" s="15"/>
      <c r="S48" s="15"/>
      <c r="T48" s="50">
        <f>106589.07</f>
        <v>106589.07</v>
      </c>
      <c r="U48" s="50"/>
    </row>
    <row r="49" spans="1:21" s="1" customFormat="1" ht="13.5" customHeight="1">
      <c r="A49" s="12" t="s">
        <v>99</v>
      </c>
      <c r="B49" s="12"/>
      <c r="C49" s="12"/>
      <c r="D49" s="12"/>
      <c r="E49" s="12"/>
      <c r="F49" s="12"/>
      <c r="G49" s="13" t="s">
        <v>98</v>
      </c>
      <c r="H49" s="13"/>
      <c r="I49" s="13" t="s">
        <v>105</v>
      </c>
      <c r="J49" s="13"/>
      <c r="K49" s="21" t="s">
        <v>101</v>
      </c>
      <c r="L49" s="21"/>
      <c r="M49" s="15">
        <f>56800</f>
        <v>56800</v>
      </c>
      <c r="N49" s="15"/>
      <c r="O49" s="15">
        <f>56800</f>
        <v>56800</v>
      </c>
      <c r="P49" s="15"/>
      <c r="Q49" s="15"/>
      <c r="R49" s="15"/>
      <c r="S49" s="15"/>
      <c r="T49" s="50">
        <f>0</f>
        <v>0</v>
      </c>
      <c r="U49" s="50"/>
    </row>
    <row r="50" spans="1:21" s="1" customFormat="1" ht="13.5" customHeight="1">
      <c r="A50" s="12" t="s">
        <v>102</v>
      </c>
      <c r="B50" s="12"/>
      <c r="C50" s="12"/>
      <c r="D50" s="12"/>
      <c r="E50" s="12"/>
      <c r="F50" s="12"/>
      <c r="G50" s="13" t="s">
        <v>98</v>
      </c>
      <c r="H50" s="13"/>
      <c r="I50" s="13" t="s">
        <v>106</v>
      </c>
      <c r="J50" s="13"/>
      <c r="K50" s="21" t="s">
        <v>104</v>
      </c>
      <c r="L50" s="21"/>
      <c r="M50" s="15">
        <f>17100</f>
        <v>17100</v>
      </c>
      <c r="N50" s="15"/>
      <c r="O50" s="15">
        <f>17100</f>
        <v>17100</v>
      </c>
      <c r="P50" s="15"/>
      <c r="Q50" s="15"/>
      <c r="R50" s="15"/>
      <c r="S50" s="15"/>
      <c r="T50" s="50">
        <f>0</f>
        <v>0</v>
      </c>
      <c r="U50" s="50"/>
    </row>
    <row r="51" spans="1:21" s="1" customFormat="1" ht="13.5" customHeight="1">
      <c r="A51" s="12" t="s">
        <v>99</v>
      </c>
      <c r="B51" s="12"/>
      <c r="C51" s="12"/>
      <c r="D51" s="12"/>
      <c r="E51" s="12"/>
      <c r="F51" s="12"/>
      <c r="G51" s="13" t="s">
        <v>98</v>
      </c>
      <c r="H51" s="13"/>
      <c r="I51" s="13" t="s">
        <v>107</v>
      </c>
      <c r="J51" s="13"/>
      <c r="K51" s="21" t="s">
        <v>101</v>
      </c>
      <c r="L51" s="21"/>
      <c r="M51" s="15">
        <f>8425874.52</f>
        <v>8425874.52</v>
      </c>
      <c r="N51" s="15"/>
      <c r="O51" s="15">
        <f>7033449.55</f>
        <v>7033449.55</v>
      </c>
      <c r="P51" s="15"/>
      <c r="Q51" s="15"/>
      <c r="R51" s="15"/>
      <c r="S51" s="15"/>
      <c r="T51" s="50">
        <f>1392424.97</f>
        <v>1392424.97</v>
      </c>
      <c r="U51" s="50"/>
    </row>
    <row r="52" spans="1:21" s="1" customFormat="1" ht="13.5" customHeight="1">
      <c r="A52" s="12" t="s">
        <v>108</v>
      </c>
      <c r="B52" s="12"/>
      <c r="C52" s="12"/>
      <c r="D52" s="12"/>
      <c r="E52" s="12"/>
      <c r="F52" s="12"/>
      <c r="G52" s="13" t="s">
        <v>98</v>
      </c>
      <c r="H52" s="13"/>
      <c r="I52" s="13" t="s">
        <v>107</v>
      </c>
      <c r="J52" s="13"/>
      <c r="K52" s="21" t="s">
        <v>109</v>
      </c>
      <c r="L52" s="21"/>
      <c r="M52" s="15">
        <f>25425.48</f>
        <v>25425.48</v>
      </c>
      <c r="N52" s="15"/>
      <c r="O52" s="15">
        <f>25425.48</f>
        <v>25425.48</v>
      </c>
      <c r="P52" s="15"/>
      <c r="Q52" s="15"/>
      <c r="R52" s="15"/>
      <c r="S52" s="15"/>
      <c r="T52" s="50">
        <f>0</f>
        <v>0</v>
      </c>
      <c r="U52" s="50"/>
    </row>
    <row r="53" spans="1:21" s="1" customFormat="1" ht="13.5" customHeight="1">
      <c r="A53" s="12" t="s">
        <v>110</v>
      </c>
      <c r="B53" s="12"/>
      <c r="C53" s="12"/>
      <c r="D53" s="12"/>
      <c r="E53" s="12"/>
      <c r="F53" s="12"/>
      <c r="G53" s="13" t="s">
        <v>98</v>
      </c>
      <c r="H53" s="13"/>
      <c r="I53" s="13" t="s">
        <v>111</v>
      </c>
      <c r="J53" s="13"/>
      <c r="K53" s="21" t="s">
        <v>112</v>
      </c>
      <c r="L53" s="21"/>
      <c r="M53" s="15">
        <f>100000</f>
        <v>100000</v>
      </c>
      <c r="N53" s="15"/>
      <c r="O53" s="15">
        <f>15000</f>
        <v>15000</v>
      </c>
      <c r="P53" s="15"/>
      <c r="Q53" s="15"/>
      <c r="R53" s="15"/>
      <c r="S53" s="15"/>
      <c r="T53" s="50">
        <f>85000</f>
        <v>85000</v>
      </c>
      <c r="U53" s="50"/>
    </row>
    <row r="54" spans="1:21" s="1" customFormat="1" ht="13.5" customHeight="1">
      <c r="A54" s="12" t="s">
        <v>113</v>
      </c>
      <c r="B54" s="12"/>
      <c r="C54" s="12"/>
      <c r="D54" s="12"/>
      <c r="E54" s="12"/>
      <c r="F54" s="12"/>
      <c r="G54" s="13" t="s">
        <v>98</v>
      </c>
      <c r="H54" s="13"/>
      <c r="I54" s="13" t="s">
        <v>111</v>
      </c>
      <c r="J54" s="13"/>
      <c r="K54" s="21" t="s">
        <v>114</v>
      </c>
      <c r="L54" s="21"/>
      <c r="M54" s="15">
        <f>100000</f>
        <v>100000</v>
      </c>
      <c r="N54" s="15"/>
      <c r="O54" s="15">
        <f>63671.6</f>
        <v>63671.6</v>
      </c>
      <c r="P54" s="15"/>
      <c r="Q54" s="15"/>
      <c r="R54" s="15"/>
      <c r="S54" s="15"/>
      <c r="T54" s="50">
        <f>36328.4</f>
        <v>36328.4</v>
      </c>
      <c r="U54" s="50"/>
    </row>
    <row r="55" spans="1:21" s="1" customFormat="1" ht="13.5" customHeight="1">
      <c r="A55" s="12" t="s">
        <v>102</v>
      </c>
      <c r="B55" s="12"/>
      <c r="C55" s="12"/>
      <c r="D55" s="12"/>
      <c r="E55" s="12"/>
      <c r="F55" s="12"/>
      <c r="G55" s="13" t="s">
        <v>98</v>
      </c>
      <c r="H55" s="13"/>
      <c r="I55" s="13" t="s">
        <v>115</v>
      </c>
      <c r="J55" s="13"/>
      <c r="K55" s="21" t="s">
        <v>104</v>
      </c>
      <c r="L55" s="21"/>
      <c r="M55" s="15">
        <f>2552300</f>
        <v>2552300</v>
      </c>
      <c r="N55" s="15"/>
      <c r="O55" s="15">
        <f>2027106.98</f>
        <v>2027106.98</v>
      </c>
      <c r="P55" s="15"/>
      <c r="Q55" s="15"/>
      <c r="R55" s="15"/>
      <c r="S55" s="15"/>
      <c r="T55" s="50">
        <f>525193.02</f>
        <v>525193.02</v>
      </c>
      <c r="U55" s="50"/>
    </row>
    <row r="56" spans="1:21" s="1" customFormat="1" ht="13.5" customHeight="1">
      <c r="A56" s="12" t="s">
        <v>99</v>
      </c>
      <c r="B56" s="12"/>
      <c r="C56" s="12"/>
      <c r="D56" s="12"/>
      <c r="E56" s="12"/>
      <c r="F56" s="12"/>
      <c r="G56" s="13" t="s">
        <v>98</v>
      </c>
      <c r="H56" s="13"/>
      <c r="I56" s="13" t="s">
        <v>116</v>
      </c>
      <c r="J56" s="13"/>
      <c r="K56" s="21" t="s">
        <v>101</v>
      </c>
      <c r="L56" s="21"/>
      <c r="M56" s="15">
        <f>337700</f>
        <v>337700</v>
      </c>
      <c r="N56" s="15"/>
      <c r="O56" s="15">
        <f>337700</f>
        <v>337700</v>
      </c>
      <c r="P56" s="15"/>
      <c r="Q56" s="15"/>
      <c r="R56" s="15"/>
      <c r="S56" s="15"/>
      <c r="T56" s="50">
        <f>0</f>
        <v>0</v>
      </c>
      <c r="U56" s="50"/>
    </row>
    <row r="57" spans="1:21" s="1" customFormat="1" ht="13.5" customHeight="1">
      <c r="A57" s="12" t="s">
        <v>102</v>
      </c>
      <c r="B57" s="12"/>
      <c r="C57" s="12"/>
      <c r="D57" s="12"/>
      <c r="E57" s="12"/>
      <c r="F57" s="12"/>
      <c r="G57" s="13" t="s">
        <v>98</v>
      </c>
      <c r="H57" s="13"/>
      <c r="I57" s="13" t="s">
        <v>117</v>
      </c>
      <c r="J57" s="13"/>
      <c r="K57" s="21" t="s">
        <v>104</v>
      </c>
      <c r="L57" s="21"/>
      <c r="M57" s="15">
        <f>102000</f>
        <v>102000</v>
      </c>
      <c r="N57" s="15"/>
      <c r="O57" s="15">
        <f>102000</f>
        <v>102000</v>
      </c>
      <c r="P57" s="15"/>
      <c r="Q57" s="15"/>
      <c r="R57" s="15"/>
      <c r="S57" s="15"/>
      <c r="T57" s="50">
        <f>0</f>
        <v>0</v>
      </c>
      <c r="U57" s="50"/>
    </row>
    <row r="58" spans="1:21" s="1" customFormat="1" ht="13.5" customHeight="1">
      <c r="A58" s="12" t="s">
        <v>118</v>
      </c>
      <c r="B58" s="12"/>
      <c r="C58" s="12"/>
      <c r="D58" s="12"/>
      <c r="E58" s="12"/>
      <c r="F58" s="12"/>
      <c r="G58" s="13" t="s">
        <v>98</v>
      </c>
      <c r="H58" s="13"/>
      <c r="I58" s="13" t="s">
        <v>119</v>
      </c>
      <c r="J58" s="13"/>
      <c r="K58" s="21" t="s">
        <v>120</v>
      </c>
      <c r="L58" s="21"/>
      <c r="M58" s="15">
        <f>150107</f>
        <v>150107</v>
      </c>
      <c r="N58" s="15"/>
      <c r="O58" s="15">
        <f>150107</f>
        <v>150107</v>
      </c>
      <c r="P58" s="15"/>
      <c r="Q58" s="15"/>
      <c r="R58" s="15"/>
      <c r="S58" s="15"/>
      <c r="T58" s="50">
        <f>0</f>
        <v>0</v>
      </c>
      <c r="U58" s="50"/>
    </row>
    <row r="59" spans="1:21" s="1" customFormat="1" ht="13.5" customHeight="1">
      <c r="A59" s="12" t="s">
        <v>121</v>
      </c>
      <c r="B59" s="12"/>
      <c r="C59" s="12"/>
      <c r="D59" s="12"/>
      <c r="E59" s="12"/>
      <c r="F59" s="12"/>
      <c r="G59" s="13" t="s">
        <v>98</v>
      </c>
      <c r="H59" s="13"/>
      <c r="I59" s="13" t="s">
        <v>122</v>
      </c>
      <c r="J59" s="13"/>
      <c r="K59" s="21" t="s">
        <v>98</v>
      </c>
      <c r="L59" s="21"/>
      <c r="M59" s="15">
        <f>200000</f>
        <v>200000</v>
      </c>
      <c r="N59" s="15"/>
      <c r="O59" s="19" t="s">
        <v>38</v>
      </c>
      <c r="P59" s="19"/>
      <c r="Q59" s="19"/>
      <c r="R59" s="19"/>
      <c r="S59" s="19"/>
      <c r="T59" s="50">
        <f>200000</f>
        <v>200000</v>
      </c>
      <c r="U59" s="50"/>
    </row>
    <row r="60" spans="1:21" s="1" customFormat="1" ht="13.5" customHeight="1">
      <c r="A60" s="12" t="s">
        <v>113</v>
      </c>
      <c r="B60" s="12"/>
      <c r="C60" s="12"/>
      <c r="D60" s="12"/>
      <c r="E60" s="12"/>
      <c r="F60" s="12"/>
      <c r="G60" s="13" t="s">
        <v>98</v>
      </c>
      <c r="H60" s="13"/>
      <c r="I60" s="13" t="s">
        <v>123</v>
      </c>
      <c r="J60" s="13"/>
      <c r="K60" s="21" t="s">
        <v>114</v>
      </c>
      <c r="L60" s="21"/>
      <c r="M60" s="15">
        <f>50000</f>
        <v>50000</v>
      </c>
      <c r="N60" s="15"/>
      <c r="O60" s="15">
        <f>38500</f>
        <v>38500</v>
      </c>
      <c r="P60" s="15"/>
      <c r="Q60" s="15"/>
      <c r="R60" s="15"/>
      <c r="S60" s="15"/>
      <c r="T60" s="50">
        <f>11500</f>
        <v>11500</v>
      </c>
      <c r="U60" s="50"/>
    </row>
    <row r="61" spans="1:21" s="1" customFormat="1" ht="13.5" customHeight="1">
      <c r="A61" s="12" t="s">
        <v>124</v>
      </c>
      <c r="B61" s="12"/>
      <c r="C61" s="12"/>
      <c r="D61" s="12"/>
      <c r="E61" s="12"/>
      <c r="F61" s="12"/>
      <c r="G61" s="13" t="s">
        <v>98</v>
      </c>
      <c r="H61" s="13"/>
      <c r="I61" s="13" t="s">
        <v>125</v>
      </c>
      <c r="J61" s="13"/>
      <c r="K61" s="21" t="s">
        <v>126</v>
      </c>
      <c r="L61" s="21"/>
      <c r="M61" s="15">
        <f>436340.12</f>
        <v>436340.12</v>
      </c>
      <c r="N61" s="15"/>
      <c r="O61" s="15">
        <f>421469.78</f>
        <v>421469.78</v>
      </c>
      <c r="P61" s="15"/>
      <c r="Q61" s="15"/>
      <c r="R61" s="15"/>
      <c r="S61" s="15"/>
      <c r="T61" s="50">
        <f>14870.34</f>
        <v>14870.34</v>
      </c>
      <c r="U61" s="50"/>
    </row>
    <row r="62" spans="1:21" s="1" customFormat="1" ht="13.5" customHeight="1">
      <c r="A62" s="12" t="s">
        <v>127</v>
      </c>
      <c r="B62" s="12"/>
      <c r="C62" s="12"/>
      <c r="D62" s="12"/>
      <c r="E62" s="12"/>
      <c r="F62" s="12"/>
      <c r="G62" s="13" t="s">
        <v>98</v>
      </c>
      <c r="H62" s="13"/>
      <c r="I62" s="13" t="s">
        <v>128</v>
      </c>
      <c r="J62" s="13"/>
      <c r="K62" s="21" t="s">
        <v>129</v>
      </c>
      <c r="L62" s="21"/>
      <c r="M62" s="15">
        <f>25000</f>
        <v>25000</v>
      </c>
      <c r="N62" s="15"/>
      <c r="O62" s="15">
        <f>20474.58</f>
        <v>20474.58</v>
      </c>
      <c r="P62" s="15"/>
      <c r="Q62" s="15"/>
      <c r="R62" s="15"/>
      <c r="S62" s="15"/>
      <c r="T62" s="50">
        <f>4525.42</f>
        <v>4525.42</v>
      </c>
      <c r="U62" s="50"/>
    </row>
    <row r="63" spans="1:21" s="1" customFormat="1" ht="13.5" customHeight="1">
      <c r="A63" s="12" t="s">
        <v>113</v>
      </c>
      <c r="B63" s="12"/>
      <c r="C63" s="12"/>
      <c r="D63" s="12"/>
      <c r="E63" s="12"/>
      <c r="F63" s="12"/>
      <c r="G63" s="13" t="s">
        <v>98</v>
      </c>
      <c r="H63" s="13"/>
      <c r="I63" s="13" t="s">
        <v>128</v>
      </c>
      <c r="J63" s="13"/>
      <c r="K63" s="21" t="s">
        <v>114</v>
      </c>
      <c r="L63" s="21"/>
      <c r="M63" s="15">
        <f>75000</f>
        <v>75000</v>
      </c>
      <c r="N63" s="15"/>
      <c r="O63" s="15">
        <f>2320</f>
        <v>2320</v>
      </c>
      <c r="P63" s="15"/>
      <c r="Q63" s="15"/>
      <c r="R63" s="15"/>
      <c r="S63" s="15"/>
      <c r="T63" s="50">
        <f>72680</f>
        <v>72680</v>
      </c>
      <c r="U63" s="50"/>
    </row>
    <row r="64" spans="1:21" s="1" customFormat="1" ht="13.5" customHeight="1">
      <c r="A64" s="12" t="s">
        <v>130</v>
      </c>
      <c r="B64" s="12"/>
      <c r="C64" s="12"/>
      <c r="D64" s="12"/>
      <c r="E64" s="12"/>
      <c r="F64" s="12"/>
      <c r="G64" s="13" t="s">
        <v>98</v>
      </c>
      <c r="H64" s="13"/>
      <c r="I64" s="13" t="s">
        <v>128</v>
      </c>
      <c r="J64" s="13"/>
      <c r="K64" s="21" t="s">
        <v>131</v>
      </c>
      <c r="L64" s="21"/>
      <c r="M64" s="15">
        <f>77400</f>
        <v>77400</v>
      </c>
      <c r="N64" s="15"/>
      <c r="O64" s="15">
        <f>64606</f>
        <v>64606</v>
      </c>
      <c r="P64" s="15"/>
      <c r="Q64" s="15"/>
      <c r="R64" s="15"/>
      <c r="S64" s="15"/>
      <c r="T64" s="50">
        <f>12794</f>
        <v>12794</v>
      </c>
      <c r="U64" s="50"/>
    </row>
    <row r="65" spans="1:21" s="1" customFormat="1" ht="24" customHeight="1">
      <c r="A65" s="12" t="s">
        <v>132</v>
      </c>
      <c r="B65" s="12"/>
      <c r="C65" s="12"/>
      <c r="D65" s="12"/>
      <c r="E65" s="12"/>
      <c r="F65" s="12"/>
      <c r="G65" s="13" t="s">
        <v>98</v>
      </c>
      <c r="H65" s="13"/>
      <c r="I65" s="13" t="s">
        <v>128</v>
      </c>
      <c r="J65" s="13"/>
      <c r="K65" s="21" t="s">
        <v>133</v>
      </c>
      <c r="L65" s="21"/>
      <c r="M65" s="15">
        <f>2600</f>
        <v>2600</v>
      </c>
      <c r="N65" s="15"/>
      <c r="O65" s="15">
        <f>2600</f>
        <v>2600</v>
      </c>
      <c r="P65" s="15"/>
      <c r="Q65" s="15"/>
      <c r="R65" s="15"/>
      <c r="S65" s="15"/>
      <c r="T65" s="50">
        <f>0</f>
        <v>0</v>
      </c>
      <c r="U65" s="50"/>
    </row>
    <row r="66" spans="1:21" s="1" customFormat="1" ht="13.5" customHeight="1">
      <c r="A66" s="12" t="s">
        <v>134</v>
      </c>
      <c r="B66" s="12"/>
      <c r="C66" s="12"/>
      <c r="D66" s="12"/>
      <c r="E66" s="12"/>
      <c r="F66" s="12"/>
      <c r="G66" s="13" t="s">
        <v>98</v>
      </c>
      <c r="H66" s="13"/>
      <c r="I66" s="13" t="s">
        <v>135</v>
      </c>
      <c r="J66" s="13"/>
      <c r="K66" s="21" t="s">
        <v>136</v>
      </c>
      <c r="L66" s="21"/>
      <c r="M66" s="15">
        <f>138</f>
        <v>138</v>
      </c>
      <c r="N66" s="15"/>
      <c r="O66" s="15">
        <f>138</f>
        <v>138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134</v>
      </c>
      <c r="B67" s="12"/>
      <c r="C67" s="12"/>
      <c r="D67" s="12"/>
      <c r="E67" s="12"/>
      <c r="F67" s="12"/>
      <c r="G67" s="13" t="s">
        <v>98</v>
      </c>
      <c r="H67" s="13"/>
      <c r="I67" s="13" t="s">
        <v>137</v>
      </c>
      <c r="J67" s="13"/>
      <c r="K67" s="21" t="s">
        <v>136</v>
      </c>
      <c r="L67" s="21"/>
      <c r="M67" s="15">
        <f>64118</f>
        <v>64118</v>
      </c>
      <c r="N67" s="15"/>
      <c r="O67" s="15">
        <f>64118</f>
        <v>64118</v>
      </c>
      <c r="P67" s="15"/>
      <c r="Q67" s="15"/>
      <c r="R67" s="15"/>
      <c r="S67" s="15"/>
      <c r="T67" s="50">
        <f>0</f>
        <v>0</v>
      </c>
      <c r="U67" s="50"/>
    </row>
    <row r="68" spans="1:21" s="1" customFormat="1" ht="13.5" customHeight="1">
      <c r="A68" s="12" t="s">
        <v>138</v>
      </c>
      <c r="B68" s="12"/>
      <c r="C68" s="12"/>
      <c r="D68" s="12"/>
      <c r="E68" s="12"/>
      <c r="F68" s="12"/>
      <c r="G68" s="13" t="s">
        <v>98</v>
      </c>
      <c r="H68" s="13"/>
      <c r="I68" s="13" t="s">
        <v>139</v>
      </c>
      <c r="J68" s="13"/>
      <c r="K68" s="21" t="s">
        <v>140</v>
      </c>
      <c r="L68" s="21"/>
      <c r="M68" s="15">
        <f>20000</f>
        <v>20000</v>
      </c>
      <c r="N68" s="15"/>
      <c r="O68" s="15">
        <f>20000</f>
        <v>20000</v>
      </c>
      <c r="P68" s="15"/>
      <c r="Q68" s="15"/>
      <c r="R68" s="15"/>
      <c r="S68" s="15"/>
      <c r="T68" s="50">
        <f>0</f>
        <v>0</v>
      </c>
      <c r="U68" s="50"/>
    </row>
    <row r="69" spans="1:21" s="1" customFormat="1" ht="13.5" customHeight="1">
      <c r="A69" s="12" t="s">
        <v>99</v>
      </c>
      <c r="B69" s="12"/>
      <c r="C69" s="12"/>
      <c r="D69" s="12"/>
      <c r="E69" s="12"/>
      <c r="F69" s="12"/>
      <c r="G69" s="13" t="s">
        <v>98</v>
      </c>
      <c r="H69" s="13"/>
      <c r="I69" s="13" t="s">
        <v>141</v>
      </c>
      <c r="J69" s="13"/>
      <c r="K69" s="21" t="s">
        <v>101</v>
      </c>
      <c r="L69" s="21"/>
      <c r="M69" s="15">
        <f>4499048.69</f>
        <v>4499048.69</v>
      </c>
      <c r="N69" s="15"/>
      <c r="O69" s="15">
        <f>3741721.01</f>
        <v>3741721.01</v>
      </c>
      <c r="P69" s="15"/>
      <c r="Q69" s="15"/>
      <c r="R69" s="15"/>
      <c r="S69" s="15"/>
      <c r="T69" s="50">
        <f>757327.68</f>
        <v>757327.68</v>
      </c>
      <c r="U69" s="50"/>
    </row>
    <row r="70" spans="1:21" s="1" customFormat="1" ht="13.5" customHeight="1">
      <c r="A70" s="12" t="s">
        <v>108</v>
      </c>
      <c r="B70" s="12"/>
      <c r="C70" s="12"/>
      <c r="D70" s="12"/>
      <c r="E70" s="12"/>
      <c r="F70" s="12"/>
      <c r="G70" s="13" t="s">
        <v>98</v>
      </c>
      <c r="H70" s="13"/>
      <c r="I70" s="13" t="s">
        <v>141</v>
      </c>
      <c r="J70" s="13"/>
      <c r="K70" s="21" t="s">
        <v>109</v>
      </c>
      <c r="L70" s="21"/>
      <c r="M70" s="15">
        <f>5951.31</f>
        <v>5951.31</v>
      </c>
      <c r="N70" s="15"/>
      <c r="O70" s="15">
        <f>5951.31</f>
        <v>5951.31</v>
      </c>
      <c r="P70" s="15"/>
      <c r="Q70" s="15"/>
      <c r="R70" s="15"/>
      <c r="S70" s="15"/>
      <c r="T70" s="50">
        <f>0</f>
        <v>0</v>
      </c>
      <c r="U70" s="50"/>
    </row>
    <row r="71" spans="1:21" s="1" customFormat="1" ht="13.5" customHeight="1">
      <c r="A71" s="12" t="s">
        <v>124</v>
      </c>
      <c r="B71" s="12"/>
      <c r="C71" s="12"/>
      <c r="D71" s="12"/>
      <c r="E71" s="12"/>
      <c r="F71" s="12"/>
      <c r="G71" s="13" t="s">
        <v>98</v>
      </c>
      <c r="H71" s="13"/>
      <c r="I71" s="13" t="s">
        <v>142</v>
      </c>
      <c r="J71" s="13"/>
      <c r="K71" s="21" t="s">
        <v>126</v>
      </c>
      <c r="L71" s="21"/>
      <c r="M71" s="15">
        <f>57217.32</f>
        <v>57217.32</v>
      </c>
      <c r="N71" s="15"/>
      <c r="O71" s="15">
        <f>57217.32</f>
        <v>57217.32</v>
      </c>
      <c r="P71" s="15"/>
      <c r="Q71" s="15"/>
      <c r="R71" s="15"/>
      <c r="S71" s="15"/>
      <c r="T71" s="50">
        <f>0</f>
        <v>0</v>
      </c>
      <c r="U71" s="50"/>
    </row>
    <row r="72" spans="1:21" s="1" customFormat="1" ht="13.5" customHeight="1">
      <c r="A72" s="12" t="s">
        <v>102</v>
      </c>
      <c r="B72" s="12"/>
      <c r="C72" s="12"/>
      <c r="D72" s="12"/>
      <c r="E72" s="12"/>
      <c r="F72" s="12"/>
      <c r="G72" s="13" t="s">
        <v>98</v>
      </c>
      <c r="H72" s="13"/>
      <c r="I72" s="13" t="s">
        <v>143</v>
      </c>
      <c r="J72" s="13"/>
      <c r="K72" s="21" t="s">
        <v>104</v>
      </c>
      <c r="L72" s="21"/>
      <c r="M72" s="15">
        <f>1360000</f>
        <v>1360000</v>
      </c>
      <c r="N72" s="15"/>
      <c r="O72" s="15">
        <f>1116599.92</f>
        <v>1116599.92</v>
      </c>
      <c r="P72" s="15"/>
      <c r="Q72" s="15"/>
      <c r="R72" s="15"/>
      <c r="S72" s="15"/>
      <c r="T72" s="50">
        <f>243400.08</f>
        <v>243400.08</v>
      </c>
      <c r="U72" s="50"/>
    </row>
    <row r="73" spans="1:21" s="1" customFormat="1" ht="13.5" customHeight="1">
      <c r="A73" s="12" t="s">
        <v>127</v>
      </c>
      <c r="B73" s="12"/>
      <c r="C73" s="12"/>
      <c r="D73" s="12"/>
      <c r="E73" s="12"/>
      <c r="F73" s="12"/>
      <c r="G73" s="13" t="s">
        <v>98</v>
      </c>
      <c r="H73" s="13"/>
      <c r="I73" s="13" t="s">
        <v>144</v>
      </c>
      <c r="J73" s="13"/>
      <c r="K73" s="21" t="s">
        <v>129</v>
      </c>
      <c r="L73" s="21"/>
      <c r="M73" s="15">
        <f>13962.2</f>
        <v>13962.2</v>
      </c>
      <c r="N73" s="15"/>
      <c r="O73" s="15">
        <f>9888.97</f>
        <v>9888.97</v>
      </c>
      <c r="P73" s="15"/>
      <c r="Q73" s="15"/>
      <c r="R73" s="15"/>
      <c r="S73" s="15"/>
      <c r="T73" s="50">
        <f>4073.23</f>
        <v>4073.23</v>
      </c>
      <c r="U73" s="50"/>
    </row>
    <row r="74" spans="1:21" s="1" customFormat="1" ht="13.5" customHeight="1">
      <c r="A74" s="12" t="s">
        <v>145</v>
      </c>
      <c r="B74" s="12"/>
      <c r="C74" s="12"/>
      <c r="D74" s="12"/>
      <c r="E74" s="12"/>
      <c r="F74" s="12"/>
      <c r="G74" s="13" t="s">
        <v>98</v>
      </c>
      <c r="H74" s="13"/>
      <c r="I74" s="13" t="s">
        <v>146</v>
      </c>
      <c r="J74" s="13"/>
      <c r="K74" s="21" t="s">
        <v>147</v>
      </c>
      <c r="L74" s="21"/>
      <c r="M74" s="15">
        <f>6000</f>
        <v>6000</v>
      </c>
      <c r="N74" s="15"/>
      <c r="O74" s="15">
        <f>6000</f>
        <v>6000</v>
      </c>
      <c r="P74" s="15"/>
      <c r="Q74" s="15"/>
      <c r="R74" s="15"/>
      <c r="S74" s="15"/>
      <c r="T74" s="50">
        <f>0</f>
        <v>0</v>
      </c>
      <c r="U74" s="50"/>
    </row>
    <row r="75" spans="1:21" s="1" customFormat="1" ht="13.5" customHeight="1">
      <c r="A75" s="12" t="s">
        <v>113</v>
      </c>
      <c r="B75" s="12"/>
      <c r="C75" s="12"/>
      <c r="D75" s="12"/>
      <c r="E75" s="12"/>
      <c r="F75" s="12"/>
      <c r="G75" s="13" t="s">
        <v>98</v>
      </c>
      <c r="H75" s="13"/>
      <c r="I75" s="13" t="s">
        <v>146</v>
      </c>
      <c r="J75" s="13"/>
      <c r="K75" s="21" t="s">
        <v>114</v>
      </c>
      <c r="L75" s="21"/>
      <c r="M75" s="15">
        <f>58500</f>
        <v>58500</v>
      </c>
      <c r="N75" s="15"/>
      <c r="O75" s="15">
        <f>40054.93</f>
        <v>40054.93</v>
      </c>
      <c r="P75" s="15"/>
      <c r="Q75" s="15"/>
      <c r="R75" s="15"/>
      <c r="S75" s="15"/>
      <c r="T75" s="50">
        <f>18445.07</f>
        <v>18445.07</v>
      </c>
      <c r="U75" s="50"/>
    </row>
    <row r="76" spans="1:21" s="1" customFormat="1" ht="13.5" customHeight="1">
      <c r="A76" s="12" t="s">
        <v>148</v>
      </c>
      <c r="B76" s="12"/>
      <c r="C76" s="12"/>
      <c r="D76" s="12"/>
      <c r="E76" s="12"/>
      <c r="F76" s="12"/>
      <c r="G76" s="13" t="s">
        <v>98</v>
      </c>
      <c r="H76" s="13"/>
      <c r="I76" s="13" t="s">
        <v>146</v>
      </c>
      <c r="J76" s="13"/>
      <c r="K76" s="21" t="s">
        <v>149</v>
      </c>
      <c r="L76" s="21"/>
      <c r="M76" s="15">
        <f>56700</f>
        <v>56700</v>
      </c>
      <c r="N76" s="15"/>
      <c r="O76" s="15">
        <f>39340</f>
        <v>39340</v>
      </c>
      <c r="P76" s="15"/>
      <c r="Q76" s="15"/>
      <c r="R76" s="15"/>
      <c r="S76" s="15"/>
      <c r="T76" s="50">
        <f>17360</f>
        <v>17360</v>
      </c>
      <c r="U76" s="50"/>
    </row>
    <row r="77" spans="1:21" s="1" customFormat="1" ht="13.5" customHeight="1">
      <c r="A77" s="12" t="s">
        <v>150</v>
      </c>
      <c r="B77" s="12"/>
      <c r="C77" s="12"/>
      <c r="D77" s="12"/>
      <c r="E77" s="12"/>
      <c r="F77" s="12"/>
      <c r="G77" s="13" t="s">
        <v>98</v>
      </c>
      <c r="H77" s="13"/>
      <c r="I77" s="13" t="s">
        <v>146</v>
      </c>
      <c r="J77" s="13"/>
      <c r="K77" s="21" t="s">
        <v>151</v>
      </c>
      <c r="L77" s="21"/>
      <c r="M77" s="15">
        <f>493300</f>
        <v>493300</v>
      </c>
      <c r="N77" s="15"/>
      <c r="O77" s="15">
        <f>391750.56</f>
        <v>391750.56</v>
      </c>
      <c r="P77" s="15"/>
      <c r="Q77" s="15"/>
      <c r="R77" s="15"/>
      <c r="S77" s="15"/>
      <c r="T77" s="50">
        <f>101549.44</f>
        <v>101549.44</v>
      </c>
      <c r="U77" s="50"/>
    </row>
    <row r="78" spans="1:21" s="1" customFormat="1" ht="13.5" customHeight="1">
      <c r="A78" s="12" t="s">
        <v>130</v>
      </c>
      <c r="B78" s="12"/>
      <c r="C78" s="12"/>
      <c r="D78" s="12"/>
      <c r="E78" s="12"/>
      <c r="F78" s="12"/>
      <c r="G78" s="13" t="s">
        <v>98</v>
      </c>
      <c r="H78" s="13"/>
      <c r="I78" s="13" t="s">
        <v>146</v>
      </c>
      <c r="J78" s="13"/>
      <c r="K78" s="21" t="s">
        <v>131</v>
      </c>
      <c r="L78" s="21"/>
      <c r="M78" s="15">
        <f>179986.13</f>
        <v>179986.13</v>
      </c>
      <c r="N78" s="15"/>
      <c r="O78" s="15">
        <f>155697</f>
        <v>155697</v>
      </c>
      <c r="P78" s="15"/>
      <c r="Q78" s="15"/>
      <c r="R78" s="15"/>
      <c r="S78" s="15"/>
      <c r="T78" s="50">
        <f>24289.13</f>
        <v>24289.13</v>
      </c>
      <c r="U78" s="50"/>
    </row>
    <row r="79" spans="1:21" s="1" customFormat="1" ht="13.5" customHeight="1">
      <c r="A79" s="12" t="s">
        <v>134</v>
      </c>
      <c r="B79" s="12"/>
      <c r="C79" s="12"/>
      <c r="D79" s="12"/>
      <c r="E79" s="12"/>
      <c r="F79" s="12"/>
      <c r="G79" s="13" t="s">
        <v>98</v>
      </c>
      <c r="H79" s="13"/>
      <c r="I79" s="13" t="s">
        <v>152</v>
      </c>
      <c r="J79" s="13"/>
      <c r="K79" s="21" t="s">
        <v>136</v>
      </c>
      <c r="L79" s="21"/>
      <c r="M79" s="15">
        <f>1625</f>
        <v>1625</v>
      </c>
      <c r="N79" s="15"/>
      <c r="O79" s="15">
        <f>1625</f>
        <v>1625</v>
      </c>
      <c r="P79" s="15"/>
      <c r="Q79" s="15"/>
      <c r="R79" s="15"/>
      <c r="S79" s="15"/>
      <c r="T79" s="50">
        <f>0</f>
        <v>0</v>
      </c>
      <c r="U79" s="50"/>
    </row>
    <row r="80" spans="1:21" s="1" customFormat="1" ht="13.5" customHeight="1">
      <c r="A80" s="12" t="s">
        <v>134</v>
      </c>
      <c r="B80" s="12"/>
      <c r="C80" s="12"/>
      <c r="D80" s="12"/>
      <c r="E80" s="12"/>
      <c r="F80" s="12"/>
      <c r="G80" s="13" t="s">
        <v>98</v>
      </c>
      <c r="H80" s="13"/>
      <c r="I80" s="13" t="s">
        <v>153</v>
      </c>
      <c r="J80" s="13"/>
      <c r="K80" s="21" t="s">
        <v>136</v>
      </c>
      <c r="L80" s="21"/>
      <c r="M80" s="15">
        <f>4339</f>
        <v>4339</v>
      </c>
      <c r="N80" s="15"/>
      <c r="O80" s="15">
        <f>4339</f>
        <v>4339</v>
      </c>
      <c r="P80" s="15"/>
      <c r="Q80" s="15"/>
      <c r="R80" s="15"/>
      <c r="S80" s="15"/>
      <c r="T80" s="50">
        <f>0</f>
        <v>0</v>
      </c>
      <c r="U80" s="50"/>
    </row>
    <row r="81" spans="1:21" s="1" customFormat="1" ht="24" customHeight="1">
      <c r="A81" s="12" t="s">
        <v>154</v>
      </c>
      <c r="B81" s="12"/>
      <c r="C81" s="12"/>
      <c r="D81" s="12"/>
      <c r="E81" s="12"/>
      <c r="F81" s="12"/>
      <c r="G81" s="13" t="s">
        <v>98</v>
      </c>
      <c r="H81" s="13"/>
      <c r="I81" s="13" t="s">
        <v>155</v>
      </c>
      <c r="J81" s="13"/>
      <c r="K81" s="21" t="s">
        <v>156</v>
      </c>
      <c r="L81" s="21"/>
      <c r="M81" s="15">
        <f>13.87</f>
        <v>13.87</v>
      </c>
      <c r="N81" s="15"/>
      <c r="O81" s="15">
        <f>13.87</f>
        <v>13.87</v>
      </c>
      <c r="P81" s="15"/>
      <c r="Q81" s="15"/>
      <c r="R81" s="15"/>
      <c r="S81" s="15"/>
      <c r="T81" s="50">
        <f>0</f>
        <v>0</v>
      </c>
      <c r="U81" s="50"/>
    </row>
    <row r="82" spans="1:21" s="1" customFormat="1" ht="13.5" customHeight="1">
      <c r="A82" s="12" t="s">
        <v>99</v>
      </c>
      <c r="B82" s="12"/>
      <c r="C82" s="12"/>
      <c r="D82" s="12"/>
      <c r="E82" s="12"/>
      <c r="F82" s="12"/>
      <c r="G82" s="13" t="s">
        <v>98</v>
      </c>
      <c r="H82" s="13"/>
      <c r="I82" s="13" t="s">
        <v>157</v>
      </c>
      <c r="J82" s="13"/>
      <c r="K82" s="21" t="s">
        <v>101</v>
      </c>
      <c r="L82" s="21"/>
      <c r="M82" s="15">
        <f>180200</f>
        <v>180200</v>
      </c>
      <c r="N82" s="15"/>
      <c r="O82" s="15">
        <f>180200</f>
        <v>180200</v>
      </c>
      <c r="P82" s="15"/>
      <c r="Q82" s="15"/>
      <c r="R82" s="15"/>
      <c r="S82" s="15"/>
      <c r="T82" s="50">
        <f>0</f>
        <v>0</v>
      </c>
      <c r="U82" s="50"/>
    </row>
    <row r="83" spans="1:21" s="1" customFormat="1" ht="13.5" customHeight="1">
      <c r="A83" s="12" t="s">
        <v>102</v>
      </c>
      <c r="B83" s="12"/>
      <c r="C83" s="12"/>
      <c r="D83" s="12"/>
      <c r="E83" s="12"/>
      <c r="F83" s="12"/>
      <c r="G83" s="13" t="s">
        <v>98</v>
      </c>
      <c r="H83" s="13"/>
      <c r="I83" s="13" t="s">
        <v>158</v>
      </c>
      <c r="J83" s="13"/>
      <c r="K83" s="21" t="s">
        <v>104</v>
      </c>
      <c r="L83" s="21"/>
      <c r="M83" s="15">
        <f>54900</f>
        <v>54900</v>
      </c>
      <c r="N83" s="15"/>
      <c r="O83" s="15">
        <f>23827.5</f>
        <v>23827.5</v>
      </c>
      <c r="P83" s="15"/>
      <c r="Q83" s="15"/>
      <c r="R83" s="15"/>
      <c r="S83" s="15"/>
      <c r="T83" s="50">
        <f>31072.5</f>
        <v>31072.5</v>
      </c>
      <c r="U83" s="50"/>
    </row>
    <row r="84" spans="1:21" s="1" customFormat="1" ht="13.5" customHeight="1">
      <c r="A84" s="12" t="s">
        <v>159</v>
      </c>
      <c r="B84" s="12"/>
      <c r="C84" s="12"/>
      <c r="D84" s="12"/>
      <c r="E84" s="12"/>
      <c r="F84" s="12"/>
      <c r="G84" s="13" t="s">
        <v>98</v>
      </c>
      <c r="H84" s="13"/>
      <c r="I84" s="13" t="s">
        <v>160</v>
      </c>
      <c r="J84" s="13"/>
      <c r="K84" s="21" t="s">
        <v>161</v>
      </c>
      <c r="L84" s="21"/>
      <c r="M84" s="15">
        <f>1772632.14</f>
        <v>1772632.14</v>
      </c>
      <c r="N84" s="15"/>
      <c r="O84" s="15">
        <f>1025032.96</f>
        <v>1025032.96</v>
      </c>
      <c r="P84" s="15"/>
      <c r="Q84" s="15"/>
      <c r="R84" s="15"/>
      <c r="S84" s="15"/>
      <c r="T84" s="50">
        <f>747599.18</f>
        <v>747599.18</v>
      </c>
      <c r="U84" s="50"/>
    </row>
    <row r="85" spans="1:21" s="1" customFormat="1" ht="13.5" customHeight="1">
      <c r="A85" s="12" t="s">
        <v>145</v>
      </c>
      <c r="B85" s="12"/>
      <c r="C85" s="12"/>
      <c r="D85" s="12"/>
      <c r="E85" s="12"/>
      <c r="F85" s="12"/>
      <c r="G85" s="13" t="s">
        <v>98</v>
      </c>
      <c r="H85" s="13"/>
      <c r="I85" s="13" t="s">
        <v>160</v>
      </c>
      <c r="J85" s="13"/>
      <c r="K85" s="21" t="s">
        <v>147</v>
      </c>
      <c r="L85" s="21"/>
      <c r="M85" s="15">
        <f>44500</f>
        <v>44500</v>
      </c>
      <c r="N85" s="15"/>
      <c r="O85" s="15">
        <f>44500</f>
        <v>44500</v>
      </c>
      <c r="P85" s="15"/>
      <c r="Q85" s="15"/>
      <c r="R85" s="15"/>
      <c r="S85" s="15"/>
      <c r="T85" s="50">
        <f>0</f>
        <v>0</v>
      </c>
      <c r="U85" s="50"/>
    </row>
    <row r="86" spans="1:21" s="1" customFormat="1" ht="13.5" customHeight="1">
      <c r="A86" s="12" t="s">
        <v>113</v>
      </c>
      <c r="B86" s="12"/>
      <c r="C86" s="12"/>
      <c r="D86" s="12"/>
      <c r="E86" s="12"/>
      <c r="F86" s="12"/>
      <c r="G86" s="13" t="s">
        <v>98</v>
      </c>
      <c r="H86" s="13"/>
      <c r="I86" s="13" t="s">
        <v>162</v>
      </c>
      <c r="J86" s="13"/>
      <c r="K86" s="21" t="s">
        <v>114</v>
      </c>
      <c r="L86" s="21"/>
      <c r="M86" s="15">
        <f>11220</f>
        <v>11220</v>
      </c>
      <c r="N86" s="15"/>
      <c r="O86" s="15">
        <f>11220</f>
        <v>11220</v>
      </c>
      <c r="P86" s="15"/>
      <c r="Q86" s="15"/>
      <c r="R86" s="15"/>
      <c r="S86" s="15"/>
      <c r="T86" s="50">
        <f>0</f>
        <v>0</v>
      </c>
      <c r="U86" s="50"/>
    </row>
    <row r="87" spans="1:21" s="1" customFormat="1" ht="13.5" customHeight="1">
      <c r="A87" s="12" t="s">
        <v>113</v>
      </c>
      <c r="B87" s="12"/>
      <c r="C87" s="12"/>
      <c r="D87" s="12"/>
      <c r="E87" s="12"/>
      <c r="F87" s="12"/>
      <c r="G87" s="13" t="s">
        <v>98</v>
      </c>
      <c r="H87" s="13"/>
      <c r="I87" s="13" t="s">
        <v>163</v>
      </c>
      <c r="J87" s="13"/>
      <c r="K87" s="21" t="s">
        <v>114</v>
      </c>
      <c r="L87" s="21"/>
      <c r="M87" s="15">
        <f>227037.89</f>
        <v>227037.89</v>
      </c>
      <c r="N87" s="15"/>
      <c r="O87" s="19" t="s">
        <v>38</v>
      </c>
      <c r="P87" s="19"/>
      <c r="Q87" s="19"/>
      <c r="R87" s="19"/>
      <c r="S87" s="19"/>
      <c r="T87" s="50">
        <f>227037.89</f>
        <v>227037.89</v>
      </c>
      <c r="U87" s="50"/>
    </row>
    <row r="88" spans="1:21" s="1" customFormat="1" ht="13.5" customHeight="1">
      <c r="A88" s="12" t="s">
        <v>113</v>
      </c>
      <c r="B88" s="12"/>
      <c r="C88" s="12"/>
      <c r="D88" s="12"/>
      <c r="E88" s="12"/>
      <c r="F88" s="12"/>
      <c r="G88" s="13" t="s">
        <v>98</v>
      </c>
      <c r="H88" s="13"/>
      <c r="I88" s="13" t="s">
        <v>164</v>
      </c>
      <c r="J88" s="13"/>
      <c r="K88" s="21" t="s">
        <v>114</v>
      </c>
      <c r="L88" s="21"/>
      <c r="M88" s="15">
        <f>18663.48</f>
        <v>18663.48</v>
      </c>
      <c r="N88" s="15"/>
      <c r="O88" s="19" t="s">
        <v>38</v>
      </c>
      <c r="P88" s="19"/>
      <c r="Q88" s="19"/>
      <c r="R88" s="19"/>
      <c r="S88" s="19"/>
      <c r="T88" s="50">
        <f>18663.48</f>
        <v>18663.48</v>
      </c>
      <c r="U88" s="50"/>
    </row>
    <row r="89" spans="1:21" s="1" customFormat="1" ht="13.5" customHeight="1">
      <c r="A89" s="12" t="s">
        <v>113</v>
      </c>
      <c r="B89" s="12"/>
      <c r="C89" s="12"/>
      <c r="D89" s="12"/>
      <c r="E89" s="12"/>
      <c r="F89" s="12"/>
      <c r="G89" s="13" t="s">
        <v>98</v>
      </c>
      <c r="H89" s="13"/>
      <c r="I89" s="13" t="s">
        <v>165</v>
      </c>
      <c r="J89" s="13"/>
      <c r="K89" s="21" t="s">
        <v>114</v>
      </c>
      <c r="L89" s="21"/>
      <c r="M89" s="15">
        <f>188.52</f>
        <v>188.52</v>
      </c>
      <c r="N89" s="15"/>
      <c r="O89" s="19" t="s">
        <v>38</v>
      </c>
      <c r="P89" s="19"/>
      <c r="Q89" s="19"/>
      <c r="R89" s="19"/>
      <c r="S89" s="19"/>
      <c r="T89" s="50">
        <f>188.52</f>
        <v>188.52</v>
      </c>
      <c r="U89" s="50"/>
    </row>
    <row r="90" spans="1:21" s="1" customFormat="1" ht="13.5" customHeight="1">
      <c r="A90" s="12" t="s">
        <v>99</v>
      </c>
      <c r="B90" s="12"/>
      <c r="C90" s="12"/>
      <c r="D90" s="12"/>
      <c r="E90" s="12"/>
      <c r="F90" s="12"/>
      <c r="G90" s="13" t="s">
        <v>98</v>
      </c>
      <c r="H90" s="13"/>
      <c r="I90" s="13" t="s">
        <v>166</v>
      </c>
      <c r="J90" s="13"/>
      <c r="K90" s="21" t="s">
        <v>101</v>
      </c>
      <c r="L90" s="21"/>
      <c r="M90" s="15">
        <f>320669.73</f>
        <v>320669.73</v>
      </c>
      <c r="N90" s="15"/>
      <c r="O90" s="15">
        <f>255820</f>
        <v>255820</v>
      </c>
      <c r="P90" s="15"/>
      <c r="Q90" s="15"/>
      <c r="R90" s="15"/>
      <c r="S90" s="15"/>
      <c r="T90" s="50">
        <f>64849.73</f>
        <v>64849.73</v>
      </c>
      <c r="U90" s="50"/>
    </row>
    <row r="91" spans="1:21" s="1" customFormat="1" ht="13.5" customHeight="1">
      <c r="A91" s="12" t="s">
        <v>124</v>
      </c>
      <c r="B91" s="12"/>
      <c r="C91" s="12"/>
      <c r="D91" s="12"/>
      <c r="E91" s="12"/>
      <c r="F91" s="12"/>
      <c r="G91" s="13" t="s">
        <v>98</v>
      </c>
      <c r="H91" s="13"/>
      <c r="I91" s="13" t="s">
        <v>167</v>
      </c>
      <c r="J91" s="13"/>
      <c r="K91" s="21" t="s">
        <v>126</v>
      </c>
      <c r="L91" s="21"/>
      <c r="M91" s="15">
        <f>7888</f>
        <v>7888</v>
      </c>
      <c r="N91" s="15"/>
      <c r="O91" s="15">
        <f>7888</f>
        <v>7888</v>
      </c>
      <c r="P91" s="15"/>
      <c r="Q91" s="15"/>
      <c r="R91" s="15"/>
      <c r="S91" s="15"/>
      <c r="T91" s="50">
        <f>0</f>
        <v>0</v>
      </c>
      <c r="U91" s="50"/>
    </row>
    <row r="92" spans="1:21" s="1" customFormat="1" ht="13.5" customHeight="1">
      <c r="A92" s="12" t="s">
        <v>102</v>
      </c>
      <c r="B92" s="12"/>
      <c r="C92" s="12"/>
      <c r="D92" s="12"/>
      <c r="E92" s="12"/>
      <c r="F92" s="12"/>
      <c r="G92" s="13" t="s">
        <v>98</v>
      </c>
      <c r="H92" s="13"/>
      <c r="I92" s="13" t="s">
        <v>168</v>
      </c>
      <c r="J92" s="13"/>
      <c r="K92" s="21" t="s">
        <v>104</v>
      </c>
      <c r="L92" s="21"/>
      <c r="M92" s="15">
        <f>96842.27</f>
        <v>96842.27</v>
      </c>
      <c r="N92" s="15"/>
      <c r="O92" s="15">
        <f>73977.65</f>
        <v>73977.65</v>
      </c>
      <c r="P92" s="15"/>
      <c r="Q92" s="15"/>
      <c r="R92" s="15"/>
      <c r="S92" s="15"/>
      <c r="T92" s="50">
        <f>22864.62</f>
        <v>22864.62</v>
      </c>
      <c r="U92" s="50"/>
    </row>
    <row r="93" spans="1:21" s="1" customFormat="1" ht="13.5" customHeight="1">
      <c r="A93" s="12" t="s">
        <v>127</v>
      </c>
      <c r="B93" s="12"/>
      <c r="C93" s="12"/>
      <c r="D93" s="12"/>
      <c r="E93" s="12"/>
      <c r="F93" s="12"/>
      <c r="G93" s="13" t="s">
        <v>98</v>
      </c>
      <c r="H93" s="13"/>
      <c r="I93" s="13" t="s">
        <v>169</v>
      </c>
      <c r="J93" s="13"/>
      <c r="K93" s="21" t="s">
        <v>129</v>
      </c>
      <c r="L93" s="21"/>
      <c r="M93" s="15">
        <f>10100</f>
        <v>10100</v>
      </c>
      <c r="N93" s="15"/>
      <c r="O93" s="15">
        <f>7635.62</f>
        <v>7635.62</v>
      </c>
      <c r="P93" s="15"/>
      <c r="Q93" s="15"/>
      <c r="R93" s="15"/>
      <c r="S93" s="15"/>
      <c r="T93" s="50">
        <f>2464.38</f>
        <v>2464.38</v>
      </c>
      <c r="U93" s="50"/>
    </row>
    <row r="94" spans="1:21" s="1" customFormat="1" ht="13.5" customHeight="1">
      <c r="A94" s="12" t="s">
        <v>99</v>
      </c>
      <c r="B94" s="12"/>
      <c r="C94" s="12"/>
      <c r="D94" s="12"/>
      <c r="E94" s="12"/>
      <c r="F94" s="12"/>
      <c r="G94" s="13" t="s">
        <v>98</v>
      </c>
      <c r="H94" s="13"/>
      <c r="I94" s="13" t="s">
        <v>170</v>
      </c>
      <c r="J94" s="13"/>
      <c r="K94" s="21" t="s">
        <v>101</v>
      </c>
      <c r="L94" s="21"/>
      <c r="M94" s="15">
        <f>60935</f>
        <v>60935</v>
      </c>
      <c r="N94" s="15"/>
      <c r="O94" s="15">
        <f>60935</f>
        <v>60935</v>
      </c>
      <c r="P94" s="15"/>
      <c r="Q94" s="15"/>
      <c r="R94" s="15"/>
      <c r="S94" s="15"/>
      <c r="T94" s="50">
        <f>0</f>
        <v>0</v>
      </c>
      <c r="U94" s="50"/>
    </row>
    <row r="95" spans="1:21" s="1" customFormat="1" ht="13.5" customHeight="1">
      <c r="A95" s="12" t="s">
        <v>102</v>
      </c>
      <c r="B95" s="12"/>
      <c r="C95" s="12"/>
      <c r="D95" s="12"/>
      <c r="E95" s="12"/>
      <c r="F95" s="12"/>
      <c r="G95" s="13" t="s">
        <v>98</v>
      </c>
      <c r="H95" s="13"/>
      <c r="I95" s="13" t="s">
        <v>171</v>
      </c>
      <c r="J95" s="13"/>
      <c r="K95" s="21" t="s">
        <v>104</v>
      </c>
      <c r="L95" s="21"/>
      <c r="M95" s="15">
        <f>18396.43</f>
        <v>18396.43</v>
      </c>
      <c r="N95" s="15"/>
      <c r="O95" s="15">
        <f>18396.43</f>
        <v>18396.43</v>
      </c>
      <c r="P95" s="15"/>
      <c r="Q95" s="15"/>
      <c r="R95" s="15"/>
      <c r="S95" s="15"/>
      <c r="T95" s="50">
        <f>0</f>
        <v>0</v>
      </c>
      <c r="U95" s="50"/>
    </row>
    <row r="96" spans="1:21" s="1" customFormat="1" ht="13.5" customHeight="1">
      <c r="A96" s="12" t="s">
        <v>130</v>
      </c>
      <c r="B96" s="12"/>
      <c r="C96" s="12"/>
      <c r="D96" s="12"/>
      <c r="E96" s="12"/>
      <c r="F96" s="12"/>
      <c r="G96" s="13" t="s">
        <v>98</v>
      </c>
      <c r="H96" s="13"/>
      <c r="I96" s="13" t="s">
        <v>172</v>
      </c>
      <c r="J96" s="13"/>
      <c r="K96" s="21" t="s">
        <v>131</v>
      </c>
      <c r="L96" s="21"/>
      <c r="M96" s="15">
        <f>26035.25</f>
        <v>26035.25</v>
      </c>
      <c r="N96" s="15"/>
      <c r="O96" s="15">
        <f>26035.25</f>
        <v>26035.25</v>
      </c>
      <c r="P96" s="15"/>
      <c r="Q96" s="15"/>
      <c r="R96" s="15"/>
      <c r="S96" s="15"/>
      <c r="T96" s="50">
        <f>0</f>
        <v>0</v>
      </c>
      <c r="U96" s="50"/>
    </row>
    <row r="97" spans="1:21" s="1" customFormat="1" ht="24" customHeight="1">
      <c r="A97" s="12" t="s">
        <v>132</v>
      </c>
      <c r="B97" s="12"/>
      <c r="C97" s="12"/>
      <c r="D97" s="12"/>
      <c r="E97" s="12"/>
      <c r="F97" s="12"/>
      <c r="G97" s="13" t="s">
        <v>98</v>
      </c>
      <c r="H97" s="13"/>
      <c r="I97" s="13" t="s">
        <v>172</v>
      </c>
      <c r="J97" s="13"/>
      <c r="K97" s="21" t="s">
        <v>133</v>
      </c>
      <c r="L97" s="21"/>
      <c r="M97" s="15">
        <f>5206</f>
        <v>5206</v>
      </c>
      <c r="N97" s="15"/>
      <c r="O97" s="15">
        <f>5206</f>
        <v>5206</v>
      </c>
      <c r="P97" s="15"/>
      <c r="Q97" s="15"/>
      <c r="R97" s="15"/>
      <c r="S97" s="15"/>
      <c r="T97" s="50">
        <f>0</f>
        <v>0</v>
      </c>
      <c r="U97" s="50"/>
    </row>
    <row r="98" spans="1:21" s="1" customFormat="1" ht="13.5" customHeight="1">
      <c r="A98" s="12" t="s">
        <v>113</v>
      </c>
      <c r="B98" s="12"/>
      <c r="C98" s="12"/>
      <c r="D98" s="12"/>
      <c r="E98" s="12"/>
      <c r="F98" s="12"/>
      <c r="G98" s="13" t="s">
        <v>98</v>
      </c>
      <c r="H98" s="13"/>
      <c r="I98" s="13" t="s">
        <v>173</v>
      </c>
      <c r="J98" s="13"/>
      <c r="K98" s="21" t="s">
        <v>114</v>
      </c>
      <c r="L98" s="21"/>
      <c r="M98" s="15">
        <f>99500</f>
        <v>99500</v>
      </c>
      <c r="N98" s="15"/>
      <c r="O98" s="15">
        <f>99500</f>
        <v>99500</v>
      </c>
      <c r="P98" s="15"/>
      <c r="Q98" s="15"/>
      <c r="R98" s="15"/>
      <c r="S98" s="15"/>
      <c r="T98" s="50">
        <f>0</f>
        <v>0</v>
      </c>
      <c r="U98" s="50"/>
    </row>
    <row r="99" spans="1:21" s="1" customFormat="1" ht="13.5" customHeight="1">
      <c r="A99" s="12" t="s">
        <v>145</v>
      </c>
      <c r="B99" s="12"/>
      <c r="C99" s="12"/>
      <c r="D99" s="12"/>
      <c r="E99" s="12"/>
      <c r="F99" s="12"/>
      <c r="G99" s="13" t="s">
        <v>98</v>
      </c>
      <c r="H99" s="13"/>
      <c r="I99" s="13" t="s">
        <v>174</v>
      </c>
      <c r="J99" s="13"/>
      <c r="K99" s="21" t="s">
        <v>147</v>
      </c>
      <c r="L99" s="21"/>
      <c r="M99" s="15">
        <f>230000</f>
        <v>230000</v>
      </c>
      <c r="N99" s="15"/>
      <c r="O99" s="15">
        <f>223557</f>
        <v>223557</v>
      </c>
      <c r="P99" s="15"/>
      <c r="Q99" s="15"/>
      <c r="R99" s="15"/>
      <c r="S99" s="15"/>
      <c r="T99" s="50">
        <f>6443</f>
        <v>6443</v>
      </c>
      <c r="U99" s="50"/>
    </row>
    <row r="100" spans="1:21" s="1" customFormat="1" ht="13.5" customHeight="1">
      <c r="A100" s="12" t="s">
        <v>175</v>
      </c>
      <c r="B100" s="12"/>
      <c r="C100" s="12"/>
      <c r="D100" s="12"/>
      <c r="E100" s="12"/>
      <c r="F100" s="12"/>
      <c r="G100" s="13" t="s">
        <v>98</v>
      </c>
      <c r="H100" s="13"/>
      <c r="I100" s="13" t="s">
        <v>176</v>
      </c>
      <c r="J100" s="13"/>
      <c r="K100" s="21" t="s">
        <v>177</v>
      </c>
      <c r="L100" s="21"/>
      <c r="M100" s="15">
        <f>15837.8</f>
        <v>15837.8</v>
      </c>
      <c r="N100" s="15"/>
      <c r="O100" s="15">
        <f>15837.8</f>
        <v>15837.8</v>
      </c>
      <c r="P100" s="15"/>
      <c r="Q100" s="15"/>
      <c r="R100" s="15"/>
      <c r="S100" s="15"/>
      <c r="T100" s="50">
        <f>0</f>
        <v>0</v>
      </c>
      <c r="U100" s="50"/>
    </row>
    <row r="101" spans="1:21" s="1" customFormat="1" ht="13.5" customHeight="1">
      <c r="A101" s="12" t="s">
        <v>178</v>
      </c>
      <c r="B101" s="12"/>
      <c r="C101" s="12"/>
      <c r="D101" s="12"/>
      <c r="E101" s="12"/>
      <c r="F101" s="12"/>
      <c r="G101" s="13" t="s">
        <v>98</v>
      </c>
      <c r="H101" s="13"/>
      <c r="I101" s="13" t="s">
        <v>179</v>
      </c>
      <c r="J101" s="13"/>
      <c r="K101" s="21" t="s">
        <v>180</v>
      </c>
      <c r="L101" s="21"/>
      <c r="M101" s="15">
        <f>952.2</f>
        <v>952.2</v>
      </c>
      <c r="N101" s="15"/>
      <c r="O101" s="15">
        <f>952.2</f>
        <v>952.2</v>
      </c>
      <c r="P101" s="15"/>
      <c r="Q101" s="15"/>
      <c r="R101" s="15"/>
      <c r="S101" s="15"/>
      <c r="T101" s="50">
        <f>0</f>
        <v>0</v>
      </c>
      <c r="U101" s="50"/>
    </row>
    <row r="102" spans="1:21" s="1" customFormat="1" ht="13.5" customHeight="1">
      <c r="A102" s="12" t="s">
        <v>175</v>
      </c>
      <c r="B102" s="12"/>
      <c r="C102" s="12"/>
      <c r="D102" s="12"/>
      <c r="E102" s="12"/>
      <c r="F102" s="12"/>
      <c r="G102" s="13" t="s">
        <v>98</v>
      </c>
      <c r="H102" s="13"/>
      <c r="I102" s="13" t="s">
        <v>181</v>
      </c>
      <c r="J102" s="13"/>
      <c r="K102" s="21" t="s">
        <v>177</v>
      </c>
      <c r="L102" s="21"/>
      <c r="M102" s="15">
        <f>3961.93</f>
        <v>3961.93</v>
      </c>
      <c r="N102" s="15"/>
      <c r="O102" s="15">
        <f>3961.93</f>
        <v>3961.93</v>
      </c>
      <c r="P102" s="15"/>
      <c r="Q102" s="15"/>
      <c r="R102" s="15"/>
      <c r="S102" s="15"/>
      <c r="T102" s="50">
        <f>0</f>
        <v>0</v>
      </c>
      <c r="U102" s="50"/>
    </row>
    <row r="103" spans="1:21" s="1" customFormat="1" ht="13.5" customHeight="1">
      <c r="A103" s="12" t="s">
        <v>178</v>
      </c>
      <c r="B103" s="12"/>
      <c r="C103" s="12"/>
      <c r="D103" s="12"/>
      <c r="E103" s="12"/>
      <c r="F103" s="12"/>
      <c r="G103" s="13" t="s">
        <v>98</v>
      </c>
      <c r="H103" s="13"/>
      <c r="I103" s="13" t="s">
        <v>182</v>
      </c>
      <c r="J103" s="13"/>
      <c r="K103" s="21" t="s">
        <v>180</v>
      </c>
      <c r="L103" s="21"/>
      <c r="M103" s="15">
        <f>238.2</f>
        <v>238.2</v>
      </c>
      <c r="N103" s="15"/>
      <c r="O103" s="15">
        <f>238.2</f>
        <v>238.2</v>
      </c>
      <c r="P103" s="15"/>
      <c r="Q103" s="15"/>
      <c r="R103" s="15"/>
      <c r="S103" s="15"/>
      <c r="T103" s="50">
        <f>0</f>
        <v>0</v>
      </c>
      <c r="U103" s="50"/>
    </row>
    <row r="104" spans="1:21" s="1" customFormat="1" ht="13.5" customHeight="1">
      <c r="A104" s="12" t="s">
        <v>99</v>
      </c>
      <c r="B104" s="12"/>
      <c r="C104" s="12"/>
      <c r="D104" s="12"/>
      <c r="E104" s="12"/>
      <c r="F104" s="12"/>
      <c r="G104" s="13" t="s">
        <v>98</v>
      </c>
      <c r="H104" s="13"/>
      <c r="I104" s="13" t="s">
        <v>183</v>
      </c>
      <c r="J104" s="13"/>
      <c r="K104" s="21" t="s">
        <v>101</v>
      </c>
      <c r="L104" s="21"/>
      <c r="M104" s="15">
        <f>1227195.66</f>
        <v>1227195.66</v>
      </c>
      <c r="N104" s="15"/>
      <c r="O104" s="15">
        <f>1075785.26</f>
        <v>1075785.26</v>
      </c>
      <c r="P104" s="15"/>
      <c r="Q104" s="15"/>
      <c r="R104" s="15"/>
      <c r="S104" s="15"/>
      <c r="T104" s="50">
        <f>151410.4</f>
        <v>151410.4</v>
      </c>
      <c r="U104" s="50"/>
    </row>
    <row r="105" spans="1:21" s="1" customFormat="1" ht="13.5" customHeight="1">
      <c r="A105" s="12" t="s">
        <v>102</v>
      </c>
      <c r="B105" s="12"/>
      <c r="C105" s="12"/>
      <c r="D105" s="12"/>
      <c r="E105" s="12"/>
      <c r="F105" s="12"/>
      <c r="G105" s="13" t="s">
        <v>98</v>
      </c>
      <c r="H105" s="13"/>
      <c r="I105" s="13" t="s">
        <v>184</v>
      </c>
      <c r="J105" s="13"/>
      <c r="K105" s="21" t="s">
        <v>104</v>
      </c>
      <c r="L105" s="21"/>
      <c r="M105" s="15">
        <f>366776.03</f>
        <v>366776.03</v>
      </c>
      <c r="N105" s="15"/>
      <c r="O105" s="15">
        <f>304492.78</f>
        <v>304492.78</v>
      </c>
      <c r="P105" s="15"/>
      <c r="Q105" s="15"/>
      <c r="R105" s="15"/>
      <c r="S105" s="15"/>
      <c r="T105" s="50">
        <f>62283.25</f>
        <v>62283.25</v>
      </c>
      <c r="U105" s="50"/>
    </row>
    <row r="106" spans="1:21" s="1" customFormat="1" ht="13.5" customHeight="1">
      <c r="A106" s="12" t="s">
        <v>99</v>
      </c>
      <c r="B106" s="12"/>
      <c r="C106" s="12"/>
      <c r="D106" s="12"/>
      <c r="E106" s="12"/>
      <c r="F106" s="12"/>
      <c r="G106" s="13" t="s">
        <v>98</v>
      </c>
      <c r="H106" s="13"/>
      <c r="I106" s="13" t="s">
        <v>185</v>
      </c>
      <c r="J106" s="13"/>
      <c r="K106" s="21" t="s">
        <v>101</v>
      </c>
      <c r="L106" s="21"/>
      <c r="M106" s="15">
        <f>671476.03</f>
        <v>671476.03</v>
      </c>
      <c r="N106" s="15"/>
      <c r="O106" s="15">
        <f>606865.44</f>
        <v>606865.44</v>
      </c>
      <c r="P106" s="15"/>
      <c r="Q106" s="15"/>
      <c r="R106" s="15"/>
      <c r="S106" s="15"/>
      <c r="T106" s="50">
        <f>64610.59</f>
        <v>64610.59</v>
      </c>
      <c r="U106" s="50"/>
    </row>
    <row r="107" spans="1:21" s="1" customFormat="1" ht="13.5" customHeight="1">
      <c r="A107" s="12" t="s">
        <v>102</v>
      </c>
      <c r="B107" s="12"/>
      <c r="C107" s="12"/>
      <c r="D107" s="12"/>
      <c r="E107" s="12"/>
      <c r="F107" s="12"/>
      <c r="G107" s="13" t="s">
        <v>98</v>
      </c>
      <c r="H107" s="13"/>
      <c r="I107" s="13" t="s">
        <v>186</v>
      </c>
      <c r="J107" s="13"/>
      <c r="K107" s="21" t="s">
        <v>104</v>
      </c>
      <c r="L107" s="21"/>
      <c r="M107" s="15">
        <f>202750.54</f>
        <v>202750.54</v>
      </c>
      <c r="N107" s="15"/>
      <c r="O107" s="15">
        <f>180857.96</f>
        <v>180857.96</v>
      </c>
      <c r="P107" s="15"/>
      <c r="Q107" s="15"/>
      <c r="R107" s="15"/>
      <c r="S107" s="15"/>
      <c r="T107" s="50">
        <f>21892.58</f>
        <v>21892.58</v>
      </c>
      <c r="U107" s="50"/>
    </row>
    <row r="108" spans="1:21" s="1" customFormat="1" ht="24" customHeight="1">
      <c r="A108" s="12" t="s">
        <v>187</v>
      </c>
      <c r="B108" s="12"/>
      <c r="C108" s="12"/>
      <c r="D108" s="12"/>
      <c r="E108" s="12"/>
      <c r="F108" s="12"/>
      <c r="G108" s="13" t="s">
        <v>98</v>
      </c>
      <c r="H108" s="13"/>
      <c r="I108" s="13" t="s">
        <v>188</v>
      </c>
      <c r="J108" s="13"/>
      <c r="K108" s="21" t="s">
        <v>189</v>
      </c>
      <c r="L108" s="21"/>
      <c r="M108" s="15">
        <f>1687958.71</f>
        <v>1687958.71</v>
      </c>
      <c r="N108" s="15"/>
      <c r="O108" s="15">
        <f>1400406.91</f>
        <v>1400406.91</v>
      </c>
      <c r="P108" s="15"/>
      <c r="Q108" s="15"/>
      <c r="R108" s="15"/>
      <c r="S108" s="15"/>
      <c r="T108" s="50">
        <f>287551.8</f>
        <v>287551.8</v>
      </c>
      <c r="U108" s="50"/>
    </row>
    <row r="109" spans="1:21" s="1" customFormat="1" ht="13.5" customHeight="1">
      <c r="A109" s="12" t="s">
        <v>145</v>
      </c>
      <c r="B109" s="12"/>
      <c r="C109" s="12"/>
      <c r="D109" s="12"/>
      <c r="E109" s="12"/>
      <c r="F109" s="12"/>
      <c r="G109" s="13" t="s">
        <v>98</v>
      </c>
      <c r="H109" s="13"/>
      <c r="I109" s="13" t="s">
        <v>190</v>
      </c>
      <c r="J109" s="13"/>
      <c r="K109" s="21" t="s">
        <v>147</v>
      </c>
      <c r="L109" s="21"/>
      <c r="M109" s="15">
        <f>5449425.66</f>
        <v>5449425.66</v>
      </c>
      <c r="N109" s="15"/>
      <c r="O109" s="15">
        <f>4658013.58</f>
        <v>4658013.58</v>
      </c>
      <c r="P109" s="15"/>
      <c r="Q109" s="15"/>
      <c r="R109" s="15"/>
      <c r="S109" s="15"/>
      <c r="T109" s="50">
        <f>791412.08</f>
        <v>791412.08</v>
      </c>
      <c r="U109" s="50"/>
    </row>
    <row r="110" spans="1:21" s="1" customFormat="1" ht="13.5" customHeight="1">
      <c r="A110" s="12" t="s">
        <v>191</v>
      </c>
      <c r="B110" s="12"/>
      <c r="C110" s="12"/>
      <c r="D110" s="12"/>
      <c r="E110" s="12"/>
      <c r="F110" s="12"/>
      <c r="G110" s="13" t="s">
        <v>98</v>
      </c>
      <c r="H110" s="13"/>
      <c r="I110" s="13" t="s">
        <v>190</v>
      </c>
      <c r="J110" s="13"/>
      <c r="K110" s="21" t="s">
        <v>192</v>
      </c>
      <c r="L110" s="21"/>
      <c r="M110" s="15">
        <f>13468</f>
        <v>13468</v>
      </c>
      <c r="N110" s="15"/>
      <c r="O110" s="15">
        <f>13468</f>
        <v>13468</v>
      </c>
      <c r="P110" s="15"/>
      <c r="Q110" s="15"/>
      <c r="R110" s="15"/>
      <c r="S110" s="15"/>
      <c r="T110" s="50">
        <f>0</f>
        <v>0</v>
      </c>
      <c r="U110" s="50"/>
    </row>
    <row r="111" spans="1:21" s="1" customFormat="1" ht="13.5" customHeight="1">
      <c r="A111" s="12" t="s">
        <v>145</v>
      </c>
      <c r="B111" s="12"/>
      <c r="C111" s="12"/>
      <c r="D111" s="12"/>
      <c r="E111" s="12"/>
      <c r="F111" s="12"/>
      <c r="G111" s="13" t="s">
        <v>98</v>
      </c>
      <c r="H111" s="13"/>
      <c r="I111" s="13" t="s">
        <v>193</v>
      </c>
      <c r="J111" s="13"/>
      <c r="K111" s="21" t="s">
        <v>147</v>
      </c>
      <c r="L111" s="21"/>
      <c r="M111" s="15">
        <f>900000</f>
        <v>900000</v>
      </c>
      <c r="N111" s="15"/>
      <c r="O111" s="15">
        <f>900000</f>
        <v>900000</v>
      </c>
      <c r="P111" s="15"/>
      <c r="Q111" s="15"/>
      <c r="R111" s="15"/>
      <c r="S111" s="15"/>
      <c r="T111" s="50">
        <f>0</f>
        <v>0</v>
      </c>
      <c r="U111" s="50"/>
    </row>
    <row r="112" spans="1:21" s="1" customFormat="1" ht="13.5" customHeight="1">
      <c r="A112" s="12" t="s">
        <v>118</v>
      </c>
      <c r="B112" s="12"/>
      <c r="C112" s="12"/>
      <c r="D112" s="12"/>
      <c r="E112" s="12"/>
      <c r="F112" s="12"/>
      <c r="G112" s="13" t="s">
        <v>98</v>
      </c>
      <c r="H112" s="13"/>
      <c r="I112" s="13" t="s">
        <v>194</v>
      </c>
      <c r="J112" s="13"/>
      <c r="K112" s="21" t="s">
        <v>120</v>
      </c>
      <c r="L112" s="21"/>
      <c r="M112" s="15">
        <f>1800000</f>
        <v>1800000</v>
      </c>
      <c r="N112" s="15"/>
      <c r="O112" s="15">
        <f>1800000</f>
        <v>1800000</v>
      </c>
      <c r="P112" s="15"/>
      <c r="Q112" s="15"/>
      <c r="R112" s="15"/>
      <c r="S112" s="15"/>
      <c r="T112" s="50">
        <f>0</f>
        <v>0</v>
      </c>
      <c r="U112" s="50"/>
    </row>
    <row r="113" spans="1:21" s="1" customFormat="1" ht="13.5" customHeight="1">
      <c r="A113" s="12" t="s">
        <v>145</v>
      </c>
      <c r="B113" s="12"/>
      <c r="C113" s="12"/>
      <c r="D113" s="12"/>
      <c r="E113" s="12"/>
      <c r="F113" s="12"/>
      <c r="G113" s="13" t="s">
        <v>98</v>
      </c>
      <c r="H113" s="13"/>
      <c r="I113" s="13" t="s">
        <v>195</v>
      </c>
      <c r="J113" s="13"/>
      <c r="K113" s="21" t="s">
        <v>147</v>
      </c>
      <c r="L113" s="21"/>
      <c r="M113" s="15">
        <f>59902.04</f>
        <v>59902.04</v>
      </c>
      <c r="N113" s="15"/>
      <c r="O113" s="15">
        <f>59702.04</f>
        <v>59702.04</v>
      </c>
      <c r="P113" s="15"/>
      <c r="Q113" s="15"/>
      <c r="R113" s="15"/>
      <c r="S113" s="15"/>
      <c r="T113" s="50">
        <f>200</f>
        <v>200</v>
      </c>
      <c r="U113" s="50"/>
    </row>
    <row r="114" spans="1:21" s="1" customFormat="1" ht="13.5" customHeight="1">
      <c r="A114" s="12" t="s">
        <v>191</v>
      </c>
      <c r="B114" s="12"/>
      <c r="C114" s="12"/>
      <c r="D114" s="12"/>
      <c r="E114" s="12"/>
      <c r="F114" s="12"/>
      <c r="G114" s="13" t="s">
        <v>98</v>
      </c>
      <c r="H114" s="13"/>
      <c r="I114" s="13" t="s">
        <v>196</v>
      </c>
      <c r="J114" s="13"/>
      <c r="K114" s="21" t="s">
        <v>192</v>
      </c>
      <c r="L114" s="21"/>
      <c r="M114" s="15">
        <f>121820.88</f>
        <v>121820.88</v>
      </c>
      <c r="N114" s="15"/>
      <c r="O114" s="15">
        <f>111746.76</f>
        <v>111746.76</v>
      </c>
      <c r="P114" s="15"/>
      <c r="Q114" s="15"/>
      <c r="R114" s="15"/>
      <c r="S114" s="15"/>
      <c r="T114" s="50">
        <f>10074.12</f>
        <v>10074.12</v>
      </c>
      <c r="U114" s="50"/>
    </row>
    <row r="115" spans="1:21" s="1" customFormat="1" ht="13.5" customHeight="1">
      <c r="A115" s="12" t="s">
        <v>130</v>
      </c>
      <c r="B115" s="12"/>
      <c r="C115" s="12"/>
      <c r="D115" s="12"/>
      <c r="E115" s="12"/>
      <c r="F115" s="12"/>
      <c r="G115" s="13" t="s">
        <v>98</v>
      </c>
      <c r="H115" s="13"/>
      <c r="I115" s="13" t="s">
        <v>196</v>
      </c>
      <c r="J115" s="13"/>
      <c r="K115" s="21" t="s">
        <v>131</v>
      </c>
      <c r="L115" s="21"/>
      <c r="M115" s="15">
        <f>3179.12</f>
        <v>3179.12</v>
      </c>
      <c r="N115" s="15"/>
      <c r="O115" s="15">
        <f>2930</f>
        <v>2930</v>
      </c>
      <c r="P115" s="15"/>
      <c r="Q115" s="15"/>
      <c r="R115" s="15"/>
      <c r="S115" s="15"/>
      <c r="T115" s="50">
        <f>249.12</f>
        <v>249.12</v>
      </c>
      <c r="U115" s="50"/>
    </row>
    <row r="116" spans="1:21" s="1" customFormat="1" ht="13.5" customHeight="1">
      <c r="A116" s="12" t="s">
        <v>127</v>
      </c>
      <c r="B116" s="12"/>
      <c r="C116" s="12"/>
      <c r="D116" s="12"/>
      <c r="E116" s="12"/>
      <c r="F116" s="12"/>
      <c r="G116" s="13" t="s">
        <v>98</v>
      </c>
      <c r="H116" s="13"/>
      <c r="I116" s="13" t="s">
        <v>197</v>
      </c>
      <c r="J116" s="13"/>
      <c r="K116" s="21" t="s">
        <v>129</v>
      </c>
      <c r="L116" s="21"/>
      <c r="M116" s="15">
        <f>157189.09</f>
        <v>157189.09</v>
      </c>
      <c r="N116" s="15"/>
      <c r="O116" s="15">
        <f>122275.22</f>
        <v>122275.22</v>
      </c>
      <c r="P116" s="15"/>
      <c r="Q116" s="15"/>
      <c r="R116" s="15"/>
      <c r="S116" s="15"/>
      <c r="T116" s="50">
        <f>34913.87</f>
        <v>34913.87</v>
      </c>
      <c r="U116" s="50"/>
    </row>
    <row r="117" spans="1:21" s="1" customFormat="1" ht="13.5" customHeight="1">
      <c r="A117" s="12" t="s">
        <v>113</v>
      </c>
      <c r="B117" s="12"/>
      <c r="C117" s="12"/>
      <c r="D117" s="12"/>
      <c r="E117" s="12"/>
      <c r="F117" s="12"/>
      <c r="G117" s="13" t="s">
        <v>98</v>
      </c>
      <c r="H117" s="13"/>
      <c r="I117" s="13" t="s">
        <v>197</v>
      </c>
      <c r="J117" s="13"/>
      <c r="K117" s="21" t="s">
        <v>114</v>
      </c>
      <c r="L117" s="21"/>
      <c r="M117" s="15">
        <f>221800</f>
        <v>221800</v>
      </c>
      <c r="N117" s="15"/>
      <c r="O117" s="15">
        <f>110180.55</f>
        <v>110180.55</v>
      </c>
      <c r="P117" s="15"/>
      <c r="Q117" s="15"/>
      <c r="R117" s="15"/>
      <c r="S117" s="15"/>
      <c r="T117" s="50">
        <f>111619.45</f>
        <v>111619.45</v>
      </c>
      <c r="U117" s="50"/>
    </row>
    <row r="118" spans="1:21" s="1" customFormat="1" ht="13.5" customHeight="1">
      <c r="A118" s="12" t="s">
        <v>148</v>
      </c>
      <c r="B118" s="12"/>
      <c r="C118" s="12"/>
      <c r="D118" s="12"/>
      <c r="E118" s="12"/>
      <c r="F118" s="12"/>
      <c r="G118" s="13" t="s">
        <v>98</v>
      </c>
      <c r="H118" s="13"/>
      <c r="I118" s="13" t="s">
        <v>197</v>
      </c>
      <c r="J118" s="13"/>
      <c r="K118" s="21" t="s">
        <v>149</v>
      </c>
      <c r="L118" s="21"/>
      <c r="M118" s="15">
        <f>50000</f>
        <v>50000</v>
      </c>
      <c r="N118" s="15"/>
      <c r="O118" s="15">
        <f>10750</f>
        <v>10750</v>
      </c>
      <c r="P118" s="15"/>
      <c r="Q118" s="15"/>
      <c r="R118" s="15"/>
      <c r="S118" s="15"/>
      <c r="T118" s="50">
        <f>39250</f>
        <v>39250</v>
      </c>
      <c r="U118" s="50"/>
    </row>
    <row r="119" spans="1:21" s="1" customFormat="1" ht="13.5" customHeight="1">
      <c r="A119" s="12" t="s">
        <v>130</v>
      </c>
      <c r="B119" s="12"/>
      <c r="C119" s="12"/>
      <c r="D119" s="12"/>
      <c r="E119" s="12"/>
      <c r="F119" s="12"/>
      <c r="G119" s="13" t="s">
        <v>98</v>
      </c>
      <c r="H119" s="13"/>
      <c r="I119" s="13" t="s">
        <v>197</v>
      </c>
      <c r="J119" s="13"/>
      <c r="K119" s="21" t="s">
        <v>131</v>
      </c>
      <c r="L119" s="21"/>
      <c r="M119" s="15">
        <f>70000</f>
        <v>70000</v>
      </c>
      <c r="N119" s="15"/>
      <c r="O119" s="15">
        <f>52502</f>
        <v>52502</v>
      </c>
      <c r="P119" s="15"/>
      <c r="Q119" s="15"/>
      <c r="R119" s="15"/>
      <c r="S119" s="15"/>
      <c r="T119" s="50">
        <f>17498</f>
        <v>17498</v>
      </c>
      <c r="U119" s="50"/>
    </row>
    <row r="120" spans="1:21" s="1" customFormat="1" ht="13.5" customHeight="1">
      <c r="A120" s="12" t="s">
        <v>159</v>
      </c>
      <c r="B120" s="12"/>
      <c r="C120" s="12"/>
      <c r="D120" s="12"/>
      <c r="E120" s="12"/>
      <c r="F120" s="12"/>
      <c r="G120" s="13" t="s">
        <v>98</v>
      </c>
      <c r="H120" s="13"/>
      <c r="I120" s="13" t="s">
        <v>198</v>
      </c>
      <c r="J120" s="13"/>
      <c r="K120" s="21" t="s">
        <v>161</v>
      </c>
      <c r="L120" s="21"/>
      <c r="M120" s="15">
        <f>5000</f>
        <v>5000</v>
      </c>
      <c r="N120" s="15"/>
      <c r="O120" s="15">
        <f>866.43</f>
        <v>866.43</v>
      </c>
      <c r="P120" s="15"/>
      <c r="Q120" s="15"/>
      <c r="R120" s="15"/>
      <c r="S120" s="15"/>
      <c r="T120" s="50">
        <f>4133.57</f>
        <v>4133.57</v>
      </c>
      <c r="U120" s="50"/>
    </row>
    <row r="121" spans="1:21" s="1" customFormat="1" ht="13.5" customHeight="1">
      <c r="A121" s="12" t="s">
        <v>145</v>
      </c>
      <c r="B121" s="12"/>
      <c r="C121" s="12"/>
      <c r="D121" s="12"/>
      <c r="E121" s="12"/>
      <c r="F121" s="12"/>
      <c r="G121" s="13" t="s">
        <v>98</v>
      </c>
      <c r="H121" s="13"/>
      <c r="I121" s="13" t="s">
        <v>198</v>
      </c>
      <c r="J121" s="13"/>
      <c r="K121" s="21" t="s">
        <v>147</v>
      </c>
      <c r="L121" s="21"/>
      <c r="M121" s="15">
        <f>412800</f>
        <v>412800</v>
      </c>
      <c r="N121" s="15"/>
      <c r="O121" s="15">
        <f>305231.88</f>
        <v>305231.88</v>
      </c>
      <c r="P121" s="15"/>
      <c r="Q121" s="15"/>
      <c r="R121" s="15"/>
      <c r="S121" s="15"/>
      <c r="T121" s="50">
        <f>107568.12</f>
        <v>107568.12</v>
      </c>
      <c r="U121" s="50"/>
    </row>
    <row r="122" spans="1:21" s="1" customFormat="1" ht="13.5" customHeight="1">
      <c r="A122" s="12" t="s">
        <v>113</v>
      </c>
      <c r="B122" s="12"/>
      <c r="C122" s="12"/>
      <c r="D122" s="12"/>
      <c r="E122" s="12"/>
      <c r="F122" s="12"/>
      <c r="G122" s="13" t="s">
        <v>98</v>
      </c>
      <c r="H122" s="13"/>
      <c r="I122" s="13" t="s">
        <v>198</v>
      </c>
      <c r="J122" s="13"/>
      <c r="K122" s="21" t="s">
        <v>114</v>
      </c>
      <c r="L122" s="21"/>
      <c r="M122" s="15">
        <f>283381</f>
        <v>283381</v>
      </c>
      <c r="N122" s="15"/>
      <c r="O122" s="15">
        <f>238265.09</f>
        <v>238265.09</v>
      </c>
      <c r="P122" s="15"/>
      <c r="Q122" s="15"/>
      <c r="R122" s="15"/>
      <c r="S122" s="15"/>
      <c r="T122" s="50">
        <f>45115.91</f>
        <v>45115.91</v>
      </c>
      <c r="U122" s="50"/>
    </row>
    <row r="123" spans="1:21" s="1" customFormat="1" ht="13.5" customHeight="1">
      <c r="A123" s="12" t="s">
        <v>191</v>
      </c>
      <c r="B123" s="12"/>
      <c r="C123" s="12"/>
      <c r="D123" s="12"/>
      <c r="E123" s="12"/>
      <c r="F123" s="12"/>
      <c r="G123" s="13" t="s">
        <v>98</v>
      </c>
      <c r="H123" s="13"/>
      <c r="I123" s="13" t="s">
        <v>198</v>
      </c>
      <c r="J123" s="13"/>
      <c r="K123" s="21" t="s">
        <v>192</v>
      </c>
      <c r="L123" s="21"/>
      <c r="M123" s="15">
        <f>209123.2</f>
        <v>209123.2</v>
      </c>
      <c r="N123" s="15"/>
      <c r="O123" s="15">
        <f>19709</f>
        <v>19709</v>
      </c>
      <c r="P123" s="15"/>
      <c r="Q123" s="15"/>
      <c r="R123" s="15"/>
      <c r="S123" s="15"/>
      <c r="T123" s="50">
        <f>189414.2</f>
        <v>189414.2</v>
      </c>
      <c r="U123" s="50"/>
    </row>
    <row r="124" spans="1:21" s="1" customFormat="1" ht="13.5" customHeight="1">
      <c r="A124" s="12" t="s">
        <v>130</v>
      </c>
      <c r="B124" s="12"/>
      <c r="C124" s="12"/>
      <c r="D124" s="12"/>
      <c r="E124" s="12"/>
      <c r="F124" s="12"/>
      <c r="G124" s="13" t="s">
        <v>98</v>
      </c>
      <c r="H124" s="13"/>
      <c r="I124" s="13" t="s">
        <v>198</v>
      </c>
      <c r="J124" s="13"/>
      <c r="K124" s="21" t="s">
        <v>131</v>
      </c>
      <c r="L124" s="21"/>
      <c r="M124" s="15">
        <f>144655.6</f>
        <v>144655.6</v>
      </c>
      <c r="N124" s="15"/>
      <c r="O124" s="15">
        <f>144655.6</f>
        <v>144655.6</v>
      </c>
      <c r="P124" s="15"/>
      <c r="Q124" s="15"/>
      <c r="R124" s="15"/>
      <c r="S124" s="15"/>
      <c r="T124" s="50">
        <f>0</f>
        <v>0</v>
      </c>
      <c r="U124" s="50"/>
    </row>
    <row r="125" spans="1:21" s="1" customFormat="1" ht="13.5" customHeight="1">
      <c r="A125" s="12" t="s">
        <v>118</v>
      </c>
      <c r="B125" s="12"/>
      <c r="C125" s="12"/>
      <c r="D125" s="12"/>
      <c r="E125" s="12"/>
      <c r="F125" s="12"/>
      <c r="G125" s="13" t="s">
        <v>98</v>
      </c>
      <c r="H125" s="13"/>
      <c r="I125" s="13" t="s">
        <v>199</v>
      </c>
      <c r="J125" s="13"/>
      <c r="K125" s="21" t="s">
        <v>120</v>
      </c>
      <c r="L125" s="21"/>
      <c r="M125" s="15">
        <f>6047702.12</f>
        <v>6047702.12</v>
      </c>
      <c r="N125" s="15"/>
      <c r="O125" s="15">
        <f>6047702.12</f>
        <v>6047702.12</v>
      </c>
      <c r="P125" s="15"/>
      <c r="Q125" s="15"/>
      <c r="R125" s="15"/>
      <c r="S125" s="15"/>
      <c r="T125" s="50">
        <f>0</f>
        <v>0</v>
      </c>
      <c r="U125" s="50"/>
    </row>
    <row r="126" spans="1:21" s="1" customFormat="1" ht="13.5" customHeight="1">
      <c r="A126" s="12" t="s">
        <v>159</v>
      </c>
      <c r="B126" s="12"/>
      <c r="C126" s="12"/>
      <c r="D126" s="12"/>
      <c r="E126" s="12"/>
      <c r="F126" s="12"/>
      <c r="G126" s="13" t="s">
        <v>98</v>
      </c>
      <c r="H126" s="13"/>
      <c r="I126" s="13" t="s">
        <v>200</v>
      </c>
      <c r="J126" s="13"/>
      <c r="K126" s="21" t="s">
        <v>161</v>
      </c>
      <c r="L126" s="21"/>
      <c r="M126" s="15">
        <f>867980.86</f>
        <v>867980.86</v>
      </c>
      <c r="N126" s="15"/>
      <c r="O126" s="15">
        <f>636834.61</f>
        <v>636834.61</v>
      </c>
      <c r="P126" s="15"/>
      <c r="Q126" s="15"/>
      <c r="R126" s="15"/>
      <c r="S126" s="15"/>
      <c r="T126" s="50">
        <f>231146.25</f>
        <v>231146.25</v>
      </c>
      <c r="U126" s="50"/>
    </row>
    <row r="127" spans="1:21" s="1" customFormat="1" ht="13.5" customHeight="1">
      <c r="A127" s="12" t="s">
        <v>130</v>
      </c>
      <c r="B127" s="12"/>
      <c r="C127" s="12"/>
      <c r="D127" s="12"/>
      <c r="E127" s="12"/>
      <c r="F127" s="12"/>
      <c r="G127" s="13" t="s">
        <v>98</v>
      </c>
      <c r="H127" s="13"/>
      <c r="I127" s="13" t="s">
        <v>200</v>
      </c>
      <c r="J127" s="13"/>
      <c r="K127" s="21" t="s">
        <v>131</v>
      </c>
      <c r="L127" s="21"/>
      <c r="M127" s="15">
        <f>416228</f>
        <v>416228</v>
      </c>
      <c r="N127" s="15"/>
      <c r="O127" s="15">
        <f>416228</f>
        <v>416228</v>
      </c>
      <c r="P127" s="15"/>
      <c r="Q127" s="15"/>
      <c r="R127" s="15"/>
      <c r="S127" s="15"/>
      <c r="T127" s="50">
        <f>0</f>
        <v>0</v>
      </c>
      <c r="U127" s="50"/>
    </row>
    <row r="128" spans="1:21" s="1" customFormat="1" ht="13.5" customHeight="1">
      <c r="A128" s="12" t="s">
        <v>145</v>
      </c>
      <c r="B128" s="12"/>
      <c r="C128" s="12"/>
      <c r="D128" s="12"/>
      <c r="E128" s="12"/>
      <c r="F128" s="12"/>
      <c r="G128" s="13" t="s">
        <v>98</v>
      </c>
      <c r="H128" s="13"/>
      <c r="I128" s="13" t="s">
        <v>201</v>
      </c>
      <c r="J128" s="13"/>
      <c r="K128" s="21" t="s">
        <v>147</v>
      </c>
      <c r="L128" s="21"/>
      <c r="M128" s="15">
        <f>2617400</f>
        <v>2617400</v>
      </c>
      <c r="N128" s="15"/>
      <c r="O128" s="15">
        <f>2547801</f>
        <v>2547801</v>
      </c>
      <c r="P128" s="15"/>
      <c r="Q128" s="15"/>
      <c r="R128" s="15"/>
      <c r="S128" s="15"/>
      <c r="T128" s="50">
        <f>69599</f>
        <v>69599</v>
      </c>
      <c r="U128" s="50"/>
    </row>
    <row r="129" spans="1:21" s="1" customFormat="1" ht="13.5" customHeight="1">
      <c r="A129" s="12" t="s">
        <v>148</v>
      </c>
      <c r="B129" s="12"/>
      <c r="C129" s="12"/>
      <c r="D129" s="12"/>
      <c r="E129" s="12"/>
      <c r="F129" s="12"/>
      <c r="G129" s="13" t="s">
        <v>98</v>
      </c>
      <c r="H129" s="13"/>
      <c r="I129" s="13" t="s">
        <v>201</v>
      </c>
      <c r="J129" s="13"/>
      <c r="K129" s="21" t="s">
        <v>149</v>
      </c>
      <c r="L129" s="21"/>
      <c r="M129" s="15">
        <f>324648</f>
        <v>324648</v>
      </c>
      <c r="N129" s="15"/>
      <c r="O129" s="15">
        <f>324648</f>
        <v>324648</v>
      </c>
      <c r="P129" s="15"/>
      <c r="Q129" s="15"/>
      <c r="R129" s="15"/>
      <c r="S129" s="15"/>
      <c r="T129" s="50">
        <f>0</f>
        <v>0</v>
      </c>
      <c r="U129" s="50"/>
    </row>
    <row r="130" spans="1:21" s="1" customFormat="1" ht="13.5" customHeight="1">
      <c r="A130" s="12" t="s">
        <v>130</v>
      </c>
      <c r="B130" s="12"/>
      <c r="C130" s="12"/>
      <c r="D130" s="12"/>
      <c r="E130" s="12"/>
      <c r="F130" s="12"/>
      <c r="G130" s="13" t="s">
        <v>98</v>
      </c>
      <c r="H130" s="13"/>
      <c r="I130" s="13" t="s">
        <v>201</v>
      </c>
      <c r="J130" s="13"/>
      <c r="K130" s="21" t="s">
        <v>131</v>
      </c>
      <c r="L130" s="21"/>
      <c r="M130" s="15">
        <f>35000</f>
        <v>35000</v>
      </c>
      <c r="N130" s="15"/>
      <c r="O130" s="15">
        <f>21595</f>
        <v>21595</v>
      </c>
      <c r="P130" s="15"/>
      <c r="Q130" s="15"/>
      <c r="R130" s="15"/>
      <c r="S130" s="15"/>
      <c r="T130" s="50">
        <f>13405</f>
        <v>13405</v>
      </c>
      <c r="U130" s="50"/>
    </row>
    <row r="131" spans="1:21" s="1" customFormat="1" ht="13.5" customHeight="1">
      <c r="A131" s="12" t="s">
        <v>145</v>
      </c>
      <c r="B131" s="12"/>
      <c r="C131" s="12"/>
      <c r="D131" s="12"/>
      <c r="E131" s="12"/>
      <c r="F131" s="12"/>
      <c r="G131" s="13" t="s">
        <v>98</v>
      </c>
      <c r="H131" s="13"/>
      <c r="I131" s="13" t="s">
        <v>202</v>
      </c>
      <c r="J131" s="13"/>
      <c r="K131" s="21" t="s">
        <v>147</v>
      </c>
      <c r="L131" s="21"/>
      <c r="M131" s="15">
        <f>807432</f>
        <v>807432</v>
      </c>
      <c r="N131" s="15"/>
      <c r="O131" s="15">
        <f>727432</f>
        <v>727432</v>
      </c>
      <c r="P131" s="15"/>
      <c r="Q131" s="15"/>
      <c r="R131" s="15"/>
      <c r="S131" s="15"/>
      <c r="T131" s="50">
        <f>80000</f>
        <v>80000</v>
      </c>
      <c r="U131" s="50"/>
    </row>
    <row r="132" spans="1:21" s="1" customFormat="1" ht="13.5" customHeight="1">
      <c r="A132" s="12" t="s">
        <v>191</v>
      </c>
      <c r="B132" s="12"/>
      <c r="C132" s="12"/>
      <c r="D132" s="12"/>
      <c r="E132" s="12"/>
      <c r="F132" s="12"/>
      <c r="G132" s="13" t="s">
        <v>98</v>
      </c>
      <c r="H132" s="13"/>
      <c r="I132" s="13" t="s">
        <v>202</v>
      </c>
      <c r="J132" s="13"/>
      <c r="K132" s="21" t="s">
        <v>192</v>
      </c>
      <c r="L132" s="21"/>
      <c r="M132" s="15">
        <f>101464</f>
        <v>101464</v>
      </c>
      <c r="N132" s="15"/>
      <c r="O132" s="15">
        <f>92011.4</f>
        <v>92011.4</v>
      </c>
      <c r="P132" s="15"/>
      <c r="Q132" s="15"/>
      <c r="R132" s="15"/>
      <c r="S132" s="15"/>
      <c r="T132" s="50">
        <f>9452.6</f>
        <v>9452.6</v>
      </c>
      <c r="U132" s="50"/>
    </row>
    <row r="133" spans="1:21" s="1" customFormat="1" ht="13.5" customHeight="1">
      <c r="A133" s="12" t="s">
        <v>130</v>
      </c>
      <c r="B133" s="12"/>
      <c r="C133" s="12"/>
      <c r="D133" s="12"/>
      <c r="E133" s="12"/>
      <c r="F133" s="12"/>
      <c r="G133" s="13" t="s">
        <v>98</v>
      </c>
      <c r="H133" s="13"/>
      <c r="I133" s="13" t="s">
        <v>202</v>
      </c>
      <c r="J133" s="13"/>
      <c r="K133" s="21" t="s">
        <v>131</v>
      </c>
      <c r="L133" s="21"/>
      <c r="M133" s="15">
        <f>1088820</f>
        <v>1088820</v>
      </c>
      <c r="N133" s="15"/>
      <c r="O133" s="15">
        <f>78208.97</f>
        <v>78208.97</v>
      </c>
      <c r="P133" s="15"/>
      <c r="Q133" s="15"/>
      <c r="R133" s="15"/>
      <c r="S133" s="15"/>
      <c r="T133" s="50">
        <f>1010611.03</f>
        <v>1010611.03</v>
      </c>
      <c r="U133" s="50"/>
    </row>
    <row r="134" spans="1:21" s="1" customFormat="1" ht="13.5" customHeight="1">
      <c r="A134" s="12" t="s">
        <v>145</v>
      </c>
      <c r="B134" s="12"/>
      <c r="C134" s="12"/>
      <c r="D134" s="12"/>
      <c r="E134" s="12"/>
      <c r="F134" s="12"/>
      <c r="G134" s="13" t="s">
        <v>98</v>
      </c>
      <c r="H134" s="13"/>
      <c r="I134" s="13" t="s">
        <v>203</v>
      </c>
      <c r="J134" s="13"/>
      <c r="K134" s="21" t="s">
        <v>147</v>
      </c>
      <c r="L134" s="21"/>
      <c r="M134" s="15">
        <f>993812.96</f>
        <v>993812.96</v>
      </c>
      <c r="N134" s="15"/>
      <c r="O134" s="15">
        <f>993812.96</f>
        <v>993812.96</v>
      </c>
      <c r="P134" s="15"/>
      <c r="Q134" s="15"/>
      <c r="R134" s="15"/>
      <c r="S134" s="15"/>
      <c r="T134" s="50">
        <f aca="true" t="shared" si="1" ref="T134:T139">0</f>
        <v>0</v>
      </c>
      <c r="U134" s="50"/>
    </row>
    <row r="135" spans="1:21" s="1" customFormat="1" ht="13.5" customHeight="1">
      <c r="A135" s="12" t="s">
        <v>118</v>
      </c>
      <c r="B135" s="12"/>
      <c r="C135" s="12"/>
      <c r="D135" s="12"/>
      <c r="E135" s="12"/>
      <c r="F135" s="12"/>
      <c r="G135" s="13" t="s">
        <v>98</v>
      </c>
      <c r="H135" s="13"/>
      <c r="I135" s="13" t="s">
        <v>204</v>
      </c>
      <c r="J135" s="13"/>
      <c r="K135" s="21" t="s">
        <v>120</v>
      </c>
      <c r="L135" s="21"/>
      <c r="M135" s="15">
        <f>317667</f>
        <v>317667</v>
      </c>
      <c r="N135" s="15"/>
      <c r="O135" s="15">
        <f>317667</f>
        <v>317667</v>
      </c>
      <c r="P135" s="15"/>
      <c r="Q135" s="15"/>
      <c r="R135" s="15"/>
      <c r="S135" s="15"/>
      <c r="T135" s="50">
        <f t="shared" si="1"/>
        <v>0</v>
      </c>
      <c r="U135" s="50"/>
    </row>
    <row r="136" spans="1:21" s="1" customFormat="1" ht="13.5" customHeight="1">
      <c r="A136" s="12" t="s">
        <v>99</v>
      </c>
      <c r="B136" s="12"/>
      <c r="C136" s="12"/>
      <c r="D136" s="12"/>
      <c r="E136" s="12"/>
      <c r="F136" s="12"/>
      <c r="G136" s="13" t="s">
        <v>98</v>
      </c>
      <c r="H136" s="13"/>
      <c r="I136" s="13" t="s">
        <v>205</v>
      </c>
      <c r="J136" s="13"/>
      <c r="K136" s="21" t="s">
        <v>101</v>
      </c>
      <c r="L136" s="21"/>
      <c r="M136" s="15">
        <f>1696.87</f>
        <v>1696.87</v>
      </c>
      <c r="N136" s="15"/>
      <c r="O136" s="15">
        <f>1696.87</f>
        <v>1696.87</v>
      </c>
      <c r="P136" s="15"/>
      <c r="Q136" s="15"/>
      <c r="R136" s="15"/>
      <c r="S136" s="15"/>
      <c r="T136" s="50">
        <f t="shared" si="1"/>
        <v>0</v>
      </c>
      <c r="U136" s="50"/>
    </row>
    <row r="137" spans="1:21" s="1" customFormat="1" ht="13.5" customHeight="1">
      <c r="A137" s="12" t="s">
        <v>102</v>
      </c>
      <c r="B137" s="12"/>
      <c r="C137" s="12"/>
      <c r="D137" s="12"/>
      <c r="E137" s="12"/>
      <c r="F137" s="12"/>
      <c r="G137" s="13" t="s">
        <v>98</v>
      </c>
      <c r="H137" s="13"/>
      <c r="I137" s="13" t="s">
        <v>206</v>
      </c>
      <c r="J137" s="13"/>
      <c r="K137" s="21" t="s">
        <v>104</v>
      </c>
      <c r="L137" s="21"/>
      <c r="M137" s="15">
        <f>512.46</f>
        <v>512.46</v>
      </c>
      <c r="N137" s="15"/>
      <c r="O137" s="15">
        <f>512.46</f>
        <v>512.46</v>
      </c>
      <c r="P137" s="15"/>
      <c r="Q137" s="15"/>
      <c r="R137" s="15"/>
      <c r="S137" s="15"/>
      <c r="T137" s="50">
        <f t="shared" si="1"/>
        <v>0</v>
      </c>
      <c r="U137" s="50"/>
    </row>
    <row r="138" spans="1:21" s="1" customFormat="1" ht="13.5" customHeight="1">
      <c r="A138" s="12" t="s">
        <v>118</v>
      </c>
      <c r="B138" s="12"/>
      <c r="C138" s="12"/>
      <c r="D138" s="12"/>
      <c r="E138" s="12"/>
      <c r="F138" s="12"/>
      <c r="G138" s="13" t="s">
        <v>98</v>
      </c>
      <c r="H138" s="13"/>
      <c r="I138" s="13" t="s">
        <v>207</v>
      </c>
      <c r="J138" s="13"/>
      <c r="K138" s="21" t="s">
        <v>120</v>
      </c>
      <c r="L138" s="21"/>
      <c r="M138" s="15">
        <f>398091</f>
        <v>398091</v>
      </c>
      <c r="N138" s="15"/>
      <c r="O138" s="15">
        <f>398091</f>
        <v>398091</v>
      </c>
      <c r="P138" s="15"/>
      <c r="Q138" s="15"/>
      <c r="R138" s="15"/>
      <c r="S138" s="15"/>
      <c r="T138" s="50">
        <f t="shared" si="1"/>
        <v>0</v>
      </c>
      <c r="U138" s="50"/>
    </row>
    <row r="139" spans="1:21" s="1" customFormat="1" ht="13.5" customHeight="1">
      <c r="A139" s="12" t="s">
        <v>118</v>
      </c>
      <c r="B139" s="12"/>
      <c r="C139" s="12"/>
      <c r="D139" s="12"/>
      <c r="E139" s="12"/>
      <c r="F139" s="12"/>
      <c r="G139" s="13" t="s">
        <v>98</v>
      </c>
      <c r="H139" s="13"/>
      <c r="I139" s="13" t="s">
        <v>208</v>
      </c>
      <c r="J139" s="13"/>
      <c r="K139" s="21" t="s">
        <v>120</v>
      </c>
      <c r="L139" s="21"/>
      <c r="M139" s="15">
        <f>15400</f>
        <v>15400</v>
      </c>
      <c r="N139" s="15"/>
      <c r="O139" s="15">
        <f>15400</f>
        <v>15400</v>
      </c>
      <c r="P139" s="15"/>
      <c r="Q139" s="15"/>
      <c r="R139" s="15"/>
      <c r="S139" s="15"/>
      <c r="T139" s="50">
        <f t="shared" si="1"/>
        <v>0</v>
      </c>
      <c r="U139" s="50"/>
    </row>
    <row r="140" spans="1:21" s="1" customFormat="1" ht="24" customHeight="1">
      <c r="A140" s="12" t="s">
        <v>132</v>
      </c>
      <c r="B140" s="12"/>
      <c r="C140" s="12"/>
      <c r="D140" s="12"/>
      <c r="E140" s="12"/>
      <c r="F140" s="12"/>
      <c r="G140" s="13" t="s">
        <v>98</v>
      </c>
      <c r="H140" s="13"/>
      <c r="I140" s="13" t="s">
        <v>209</v>
      </c>
      <c r="J140" s="13"/>
      <c r="K140" s="21" t="s">
        <v>133</v>
      </c>
      <c r="L140" s="21"/>
      <c r="M140" s="15">
        <f>57200</f>
        <v>57200</v>
      </c>
      <c r="N140" s="15"/>
      <c r="O140" s="15">
        <f>32704</f>
        <v>32704</v>
      </c>
      <c r="P140" s="15"/>
      <c r="Q140" s="15"/>
      <c r="R140" s="15"/>
      <c r="S140" s="15"/>
      <c r="T140" s="50">
        <f>24496</f>
        <v>24496</v>
      </c>
      <c r="U140" s="50"/>
    </row>
    <row r="141" spans="1:21" s="1" customFormat="1" ht="13.5" customHeight="1">
      <c r="A141" s="12" t="s">
        <v>99</v>
      </c>
      <c r="B141" s="12"/>
      <c r="C141" s="12"/>
      <c r="D141" s="12"/>
      <c r="E141" s="12"/>
      <c r="F141" s="12"/>
      <c r="G141" s="13" t="s">
        <v>98</v>
      </c>
      <c r="H141" s="13"/>
      <c r="I141" s="13" t="s">
        <v>210</v>
      </c>
      <c r="J141" s="13"/>
      <c r="K141" s="21" t="s">
        <v>101</v>
      </c>
      <c r="L141" s="21"/>
      <c r="M141" s="15">
        <f>129235.48</f>
        <v>129235.48</v>
      </c>
      <c r="N141" s="15"/>
      <c r="O141" s="15">
        <f>129235.48</f>
        <v>129235.48</v>
      </c>
      <c r="P141" s="15"/>
      <c r="Q141" s="15"/>
      <c r="R141" s="15"/>
      <c r="S141" s="15"/>
      <c r="T141" s="50">
        <f>0</f>
        <v>0</v>
      </c>
      <c r="U141" s="50"/>
    </row>
    <row r="142" spans="1:21" s="1" customFormat="1" ht="13.5" customHeight="1">
      <c r="A142" s="12" t="s">
        <v>102</v>
      </c>
      <c r="B142" s="12"/>
      <c r="C142" s="12"/>
      <c r="D142" s="12"/>
      <c r="E142" s="12"/>
      <c r="F142" s="12"/>
      <c r="G142" s="13" t="s">
        <v>98</v>
      </c>
      <c r="H142" s="13"/>
      <c r="I142" s="13" t="s">
        <v>211</v>
      </c>
      <c r="J142" s="13"/>
      <c r="K142" s="21" t="s">
        <v>104</v>
      </c>
      <c r="L142" s="21"/>
      <c r="M142" s="15">
        <f>39029.12</f>
        <v>39029.12</v>
      </c>
      <c r="N142" s="15"/>
      <c r="O142" s="15">
        <f>39029.12</f>
        <v>39029.12</v>
      </c>
      <c r="P142" s="15"/>
      <c r="Q142" s="15"/>
      <c r="R142" s="15"/>
      <c r="S142" s="15"/>
      <c r="T142" s="50">
        <f>0</f>
        <v>0</v>
      </c>
      <c r="U142" s="50"/>
    </row>
    <row r="143" spans="1:21" s="1" customFormat="1" ht="13.5" customHeight="1">
      <c r="A143" s="12" t="s">
        <v>212</v>
      </c>
      <c r="B143" s="12"/>
      <c r="C143" s="12"/>
      <c r="D143" s="12"/>
      <c r="E143" s="12"/>
      <c r="F143" s="12"/>
      <c r="G143" s="13" t="s">
        <v>98</v>
      </c>
      <c r="H143" s="13"/>
      <c r="I143" s="13" t="s">
        <v>213</v>
      </c>
      <c r="J143" s="13"/>
      <c r="K143" s="21" t="s">
        <v>214</v>
      </c>
      <c r="L143" s="21"/>
      <c r="M143" s="15">
        <f>19800</f>
        <v>19800</v>
      </c>
      <c r="N143" s="15"/>
      <c r="O143" s="15">
        <f>19800</f>
        <v>19800</v>
      </c>
      <c r="P143" s="15"/>
      <c r="Q143" s="15"/>
      <c r="R143" s="15"/>
      <c r="S143" s="15"/>
      <c r="T143" s="50">
        <f>0</f>
        <v>0</v>
      </c>
      <c r="U143" s="50"/>
    </row>
    <row r="144" spans="1:21" s="1" customFormat="1" ht="13.5" customHeight="1">
      <c r="A144" s="12" t="s">
        <v>113</v>
      </c>
      <c r="B144" s="12"/>
      <c r="C144" s="12"/>
      <c r="D144" s="12"/>
      <c r="E144" s="12"/>
      <c r="F144" s="12"/>
      <c r="G144" s="13" t="s">
        <v>98</v>
      </c>
      <c r="H144" s="13"/>
      <c r="I144" s="13" t="s">
        <v>213</v>
      </c>
      <c r="J144" s="13"/>
      <c r="K144" s="21" t="s">
        <v>114</v>
      </c>
      <c r="L144" s="21"/>
      <c r="M144" s="15">
        <f>304000</f>
        <v>304000</v>
      </c>
      <c r="N144" s="15"/>
      <c r="O144" s="15">
        <f>253282.8</f>
        <v>253282.8</v>
      </c>
      <c r="P144" s="15"/>
      <c r="Q144" s="15"/>
      <c r="R144" s="15"/>
      <c r="S144" s="15"/>
      <c r="T144" s="50">
        <f>50717.2</f>
        <v>50717.2</v>
      </c>
      <c r="U144" s="50"/>
    </row>
    <row r="145" spans="1:21" s="1" customFormat="1" ht="13.5" customHeight="1">
      <c r="A145" s="12" t="s">
        <v>130</v>
      </c>
      <c r="B145" s="12"/>
      <c r="C145" s="12"/>
      <c r="D145" s="12"/>
      <c r="E145" s="12"/>
      <c r="F145" s="12"/>
      <c r="G145" s="13" t="s">
        <v>98</v>
      </c>
      <c r="H145" s="13"/>
      <c r="I145" s="13" t="s">
        <v>213</v>
      </c>
      <c r="J145" s="13"/>
      <c r="K145" s="21" t="s">
        <v>131</v>
      </c>
      <c r="L145" s="21"/>
      <c r="M145" s="15">
        <f>358982</f>
        <v>358982</v>
      </c>
      <c r="N145" s="15"/>
      <c r="O145" s="15">
        <f>349365.94</f>
        <v>349365.94</v>
      </c>
      <c r="P145" s="15"/>
      <c r="Q145" s="15"/>
      <c r="R145" s="15"/>
      <c r="S145" s="15"/>
      <c r="T145" s="50">
        <f>9616.06</f>
        <v>9616.06</v>
      </c>
      <c r="U145" s="50"/>
    </row>
    <row r="146" spans="1:21" s="1" customFormat="1" ht="24" customHeight="1">
      <c r="A146" s="12" t="s">
        <v>132</v>
      </c>
      <c r="B146" s="12"/>
      <c r="C146" s="12"/>
      <c r="D146" s="12"/>
      <c r="E146" s="12"/>
      <c r="F146" s="12"/>
      <c r="G146" s="13" t="s">
        <v>98</v>
      </c>
      <c r="H146" s="13"/>
      <c r="I146" s="13" t="s">
        <v>213</v>
      </c>
      <c r="J146" s="13"/>
      <c r="K146" s="21" t="s">
        <v>133</v>
      </c>
      <c r="L146" s="21"/>
      <c r="M146" s="15">
        <f>409342</f>
        <v>409342</v>
      </c>
      <c r="N146" s="15"/>
      <c r="O146" s="15">
        <f>317300</f>
        <v>317300</v>
      </c>
      <c r="P146" s="15"/>
      <c r="Q146" s="15"/>
      <c r="R146" s="15"/>
      <c r="S146" s="15"/>
      <c r="T146" s="50">
        <f>92042</f>
        <v>92042</v>
      </c>
      <c r="U146" s="50"/>
    </row>
    <row r="147" spans="1:21" s="1" customFormat="1" ht="13.5" customHeight="1">
      <c r="A147" s="12" t="s">
        <v>99</v>
      </c>
      <c r="B147" s="12"/>
      <c r="C147" s="12"/>
      <c r="D147" s="12"/>
      <c r="E147" s="12"/>
      <c r="F147" s="12"/>
      <c r="G147" s="13" t="s">
        <v>98</v>
      </c>
      <c r="H147" s="13"/>
      <c r="I147" s="13" t="s">
        <v>215</v>
      </c>
      <c r="J147" s="13"/>
      <c r="K147" s="21" t="s">
        <v>101</v>
      </c>
      <c r="L147" s="21"/>
      <c r="M147" s="15">
        <f>3107330.35</f>
        <v>3107330.35</v>
      </c>
      <c r="N147" s="15"/>
      <c r="O147" s="15">
        <f>2914320.98</f>
        <v>2914320.98</v>
      </c>
      <c r="P147" s="15"/>
      <c r="Q147" s="15"/>
      <c r="R147" s="15"/>
      <c r="S147" s="15"/>
      <c r="T147" s="50">
        <f>193009.37</f>
        <v>193009.37</v>
      </c>
      <c r="U147" s="50"/>
    </row>
    <row r="148" spans="1:21" s="1" customFormat="1" ht="13.5" customHeight="1">
      <c r="A148" s="12" t="s">
        <v>108</v>
      </c>
      <c r="B148" s="12"/>
      <c r="C148" s="12"/>
      <c r="D148" s="12"/>
      <c r="E148" s="12"/>
      <c r="F148" s="12"/>
      <c r="G148" s="13" t="s">
        <v>98</v>
      </c>
      <c r="H148" s="13"/>
      <c r="I148" s="13" t="s">
        <v>215</v>
      </c>
      <c r="J148" s="13"/>
      <c r="K148" s="21" t="s">
        <v>109</v>
      </c>
      <c r="L148" s="21"/>
      <c r="M148" s="15">
        <f>4634.65</f>
        <v>4634.65</v>
      </c>
      <c r="N148" s="15"/>
      <c r="O148" s="15">
        <f>4634.65</f>
        <v>4634.65</v>
      </c>
      <c r="P148" s="15"/>
      <c r="Q148" s="15"/>
      <c r="R148" s="15"/>
      <c r="S148" s="15"/>
      <c r="T148" s="50">
        <f>0</f>
        <v>0</v>
      </c>
      <c r="U148" s="50"/>
    </row>
    <row r="149" spans="1:21" s="1" customFormat="1" ht="13.5" customHeight="1">
      <c r="A149" s="12" t="s">
        <v>110</v>
      </c>
      <c r="B149" s="12"/>
      <c r="C149" s="12"/>
      <c r="D149" s="12"/>
      <c r="E149" s="12"/>
      <c r="F149" s="12"/>
      <c r="G149" s="13" t="s">
        <v>98</v>
      </c>
      <c r="H149" s="13"/>
      <c r="I149" s="13" t="s">
        <v>216</v>
      </c>
      <c r="J149" s="13"/>
      <c r="K149" s="21" t="s">
        <v>112</v>
      </c>
      <c r="L149" s="21"/>
      <c r="M149" s="15">
        <f>600</f>
        <v>600</v>
      </c>
      <c r="N149" s="15"/>
      <c r="O149" s="15">
        <f>600</f>
        <v>600</v>
      </c>
      <c r="P149" s="15"/>
      <c r="Q149" s="15"/>
      <c r="R149" s="15"/>
      <c r="S149" s="15"/>
      <c r="T149" s="50">
        <f>0</f>
        <v>0</v>
      </c>
      <c r="U149" s="50"/>
    </row>
    <row r="150" spans="1:21" s="1" customFormat="1" ht="13.5" customHeight="1">
      <c r="A150" s="12" t="s">
        <v>124</v>
      </c>
      <c r="B150" s="12"/>
      <c r="C150" s="12"/>
      <c r="D150" s="12"/>
      <c r="E150" s="12"/>
      <c r="F150" s="12"/>
      <c r="G150" s="13" t="s">
        <v>98</v>
      </c>
      <c r="H150" s="13"/>
      <c r="I150" s="13" t="s">
        <v>216</v>
      </c>
      <c r="J150" s="13"/>
      <c r="K150" s="21" t="s">
        <v>126</v>
      </c>
      <c r="L150" s="21"/>
      <c r="M150" s="15">
        <f>137338.08</f>
        <v>137338.08</v>
      </c>
      <c r="N150" s="15"/>
      <c r="O150" s="15">
        <f>137338.08</f>
        <v>137338.08</v>
      </c>
      <c r="P150" s="15"/>
      <c r="Q150" s="15"/>
      <c r="R150" s="15"/>
      <c r="S150" s="15"/>
      <c r="T150" s="50">
        <f>0</f>
        <v>0</v>
      </c>
      <c r="U150" s="50"/>
    </row>
    <row r="151" spans="1:21" s="1" customFormat="1" ht="13.5" customHeight="1">
      <c r="A151" s="12" t="s">
        <v>113</v>
      </c>
      <c r="B151" s="12"/>
      <c r="C151" s="12"/>
      <c r="D151" s="12"/>
      <c r="E151" s="12"/>
      <c r="F151" s="12"/>
      <c r="G151" s="13" t="s">
        <v>98</v>
      </c>
      <c r="H151" s="13"/>
      <c r="I151" s="13" t="s">
        <v>216</v>
      </c>
      <c r="J151" s="13"/>
      <c r="K151" s="21" t="s">
        <v>114</v>
      </c>
      <c r="L151" s="21"/>
      <c r="M151" s="15">
        <f>9846.3</f>
        <v>9846.3</v>
      </c>
      <c r="N151" s="15"/>
      <c r="O151" s="15">
        <f>9846.3</f>
        <v>9846.3</v>
      </c>
      <c r="P151" s="15"/>
      <c r="Q151" s="15"/>
      <c r="R151" s="15"/>
      <c r="S151" s="15"/>
      <c r="T151" s="50">
        <f>0</f>
        <v>0</v>
      </c>
      <c r="U151" s="50"/>
    </row>
    <row r="152" spans="1:21" s="1" customFormat="1" ht="13.5" customHeight="1">
      <c r="A152" s="12" t="s">
        <v>102</v>
      </c>
      <c r="B152" s="12"/>
      <c r="C152" s="12"/>
      <c r="D152" s="12"/>
      <c r="E152" s="12"/>
      <c r="F152" s="12"/>
      <c r="G152" s="13" t="s">
        <v>98</v>
      </c>
      <c r="H152" s="13"/>
      <c r="I152" s="13" t="s">
        <v>217</v>
      </c>
      <c r="J152" s="13"/>
      <c r="K152" s="21" t="s">
        <v>104</v>
      </c>
      <c r="L152" s="21"/>
      <c r="M152" s="15">
        <f>939808</f>
        <v>939808</v>
      </c>
      <c r="N152" s="15"/>
      <c r="O152" s="15">
        <f>829702.7</f>
        <v>829702.7</v>
      </c>
      <c r="P152" s="15"/>
      <c r="Q152" s="15"/>
      <c r="R152" s="15"/>
      <c r="S152" s="15"/>
      <c r="T152" s="50">
        <f>110105.3</f>
        <v>110105.3</v>
      </c>
      <c r="U152" s="50"/>
    </row>
    <row r="153" spans="1:21" s="1" customFormat="1" ht="13.5" customHeight="1">
      <c r="A153" s="12" t="s">
        <v>127</v>
      </c>
      <c r="B153" s="12"/>
      <c r="C153" s="12"/>
      <c r="D153" s="12"/>
      <c r="E153" s="12"/>
      <c r="F153" s="12"/>
      <c r="G153" s="13" t="s">
        <v>98</v>
      </c>
      <c r="H153" s="13"/>
      <c r="I153" s="13" t="s">
        <v>218</v>
      </c>
      <c r="J153" s="13"/>
      <c r="K153" s="21" t="s">
        <v>129</v>
      </c>
      <c r="L153" s="21"/>
      <c r="M153" s="15">
        <f>43091.55</f>
        <v>43091.55</v>
      </c>
      <c r="N153" s="15"/>
      <c r="O153" s="15">
        <f>28923.24</f>
        <v>28923.24</v>
      </c>
      <c r="P153" s="15"/>
      <c r="Q153" s="15"/>
      <c r="R153" s="15"/>
      <c r="S153" s="15"/>
      <c r="T153" s="50">
        <f>14168.31</f>
        <v>14168.31</v>
      </c>
      <c r="U153" s="50"/>
    </row>
    <row r="154" spans="1:21" s="1" customFormat="1" ht="13.5" customHeight="1">
      <c r="A154" s="12" t="s">
        <v>113</v>
      </c>
      <c r="B154" s="12"/>
      <c r="C154" s="12"/>
      <c r="D154" s="12"/>
      <c r="E154" s="12"/>
      <c r="F154" s="12"/>
      <c r="G154" s="13" t="s">
        <v>98</v>
      </c>
      <c r="H154" s="13"/>
      <c r="I154" s="13" t="s">
        <v>218</v>
      </c>
      <c r="J154" s="13"/>
      <c r="K154" s="21" t="s">
        <v>114</v>
      </c>
      <c r="L154" s="21"/>
      <c r="M154" s="15">
        <f>7900</f>
        <v>7900</v>
      </c>
      <c r="N154" s="15"/>
      <c r="O154" s="19" t="s">
        <v>38</v>
      </c>
      <c r="P154" s="19"/>
      <c r="Q154" s="19"/>
      <c r="R154" s="19"/>
      <c r="S154" s="19"/>
      <c r="T154" s="50">
        <f>7900</f>
        <v>7900</v>
      </c>
      <c r="U154" s="50"/>
    </row>
    <row r="155" spans="1:21" s="1" customFormat="1" ht="13.5" customHeight="1">
      <c r="A155" s="12" t="s">
        <v>159</v>
      </c>
      <c r="B155" s="12"/>
      <c r="C155" s="12"/>
      <c r="D155" s="12"/>
      <c r="E155" s="12"/>
      <c r="F155" s="12"/>
      <c r="G155" s="13" t="s">
        <v>98</v>
      </c>
      <c r="H155" s="13"/>
      <c r="I155" s="13" t="s">
        <v>219</v>
      </c>
      <c r="J155" s="13"/>
      <c r="K155" s="21" t="s">
        <v>161</v>
      </c>
      <c r="L155" s="21"/>
      <c r="M155" s="15">
        <f>738425.26</f>
        <v>738425.26</v>
      </c>
      <c r="N155" s="15"/>
      <c r="O155" s="15">
        <f>350908.79</f>
        <v>350908.79</v>
      </c>
      <c r="P155" s="15"/>
      <c r="Q155" s="15"/>
      <c r="R155" s="15"/>
      <c r="S155" s="15"/>
      <c r="T155" s="50">
        <f>387516.47</f>
        <v>387516.47</v>
      </c>
      <c r="U155" s="50"/>
    </row>
    <row r="156" spans="1:21" s="1" customFormat="1" ht="13.5" customHeight="1">
      <c r="A156" s="12" t="s">
        <v>145</v>
      </c>
      <c r="B156" s="12"/>
      <c r="C156" s="12"/>
      <c r="D156" s="12"/>
      <c r="E156" s="12"/>
      <c r="F156" s="12"/>
      <c r="G156" s="13" t="s">
        <v>98</v>
      </c>
      <c r="H156" s="13"/>
      <c r="I156" s="13" t="s">
        <v>219</v>
      </c>
      <c r="J156" s="13"/>
      <c r="K156" s="21" t="s">
        <v>147</v>
      </c>
      <c r="L156" s="21"/>
      <c r="M156" s="15">
        <f>89800</f>
        <v>89800</v>
      </c>
      <c r="N156" s="15"/>
      <c r="O156" s="15">
        <f>69000</f>
        <v>69000</v>
      </c>
      <c r="P156" s="15"/>
      <c r="Q156" s="15"/>
      <c r="R156" s="15"/>
      <c r="S156" s="15"/>
      <c r="T156" s="50">
        <f>20800</f>
        <v>20800</v>
      </c>
      <c r="U156" s="50"/>
    </row>
    <row r="157" spans="1:21" s="1" customFormat="1" ht="13.5" customHeight="1">
      <c r="A157" s="12" t="s">
        <v>113</v>
      </c>
      <c r="B157" s="12"/>
      <c r="C157" s="12"/>
      <c r="D157" s="12"/>
      <c r="E157" s="12"/>
      <c r="F157" s="12"/>
      <c r="G157" s="13" t="s">
        <v>98</v>
      </c>
      <c r="H157" s="13"/>
      <c r="I157" s="13" t="s">
        <v>219</v>
      </c>
      <c r="J157" s="13"/>
      <c r="K157" s="21" t="s">
        <v>114</v>
      </c>
      <c r="L157" s="21"/>
      <c r="M157" s="15">
        <f>15600</f>
        <v>15600</v>
      </c>
      <c r="N157" s="15"/>
      <c r="O157" s="15">
        <f>15600</f>
        <v>15600</v>
      </c>
      <c r="P157" s="15"/>
      <c r="Q157" s="15"/>
      <c r="R157" s="15"/>
      <c r="S157" s="15"/>
      <c r="T157" s="50">
        <f>0</f>
        <v>0</v>
      </c>
      <c r="U157" s="50"/>
    </row>
    <row r="158" spans="1:21" s="1" customFormat="1" ht="13.5" customHeight="1">
      <c r="A158" s="12" t="s">
        <v>148</v>
      </c>
      <c r="B158" s="12"/>
      <c r="C158" s="12"/>
      <c r="D158" s="12"/>
      <c r="E158" s="12"/>
      <c r="F158" s="12"/>
      <c r="G158" s="13" t="s">
        <v>98</v>
      </c>
      <c r="H158" s="13"/>
      <c r="I158" s="13" t="s">
        <v>219</v>
      </c>
      <c r="J158" s="13"/>
      <c r="K158" s="21" t="s">
        <v>149</v>
      </c>
      <c r="L158" s="21"/>
      <c r="M158" s="15">
        <f>1064346.48</f>
        <v>1064346.48</v>
      </c>
      <c r="N158" s="15"/>
      <c r="O158" s="15">
        <f>1013941.48</f>
        <v>1013941.48</v>
      </c>
      <c r="P158" s="15"/>
      <c r="Q158" s="15"/>
      <c r="R158" s="15"/>
      <c r="S158" s="15"/>
      <c r="T158" s="50">
        <f>50405</f>
        <v>50405</v>
      </c>
      <c r="U158" s="50"/>
    </row>
    <row r="159" spans="1:21" s="1" customFormat="1" ht="13.5" customHeight="1">
      <c r="A159" s="12" t="s">
        <v>130</v>
      </c>
      <c r="B159" s="12"/>
      <c r="C159" s="12"/>
      <c r="D159" s="12"/>
      <c r="E159" s="12"/>
      <c r="F159" s="12"/>
      <c r="G159" s="13" t="s">
        <v>98</v>
      </c>
      <c r="H159" s="13"/>
      <c r="I159" s="13" t="s">
        <v>219</v>
      </c>
      <c r="J159" s="13"/>
      <c r="K159" s="21" t="s">
        <v>131</v>
      </c>
      <c r="L159" s="21"/>
      <c r="M159" s="15">
        <f>91610</f>
        <v>91610</v>
      </c>
      <c r="N159" s="15"/>
      <c r="O159" s="15">
        <f>78494</f>
        <v>78494</v>
      </c>
      <c r="P159" s="15"/>
      <c r="Q159" s="15"/>
      <c r="R159" s="15"/>
      <c r="S159" s="15"/>
      <c r="T159" s="50">
        <f>13116</f>
        <v>13116</v>
      </c>
      <c r="U159" s="50"/>
    </row>
    <row r="160" spans="1:21" s="1" customFormat="1" ht="13.5" customHeight="1">
      <c r="A160" s="12" t="s">
        <v>134</v>
      </c>
      <c r="B160" s="12"/>
      <c r="C160" s="12"/>
      <c r="D160" s="12"/>
      <c r="E160" s="12"/>
      <c r="F160" s="12"/>
      <c r="G160" s="13" t="s">
        <v>98</v>
      </c>
      <c r="H160" s="13"/>
      <c r="I160" s="13" t="s">
        <v>220</v>
      </c>
      <c r="J160" s="13"/>
      <c r="K160" s="21" t="s">
        <v>136</v>
      </c>
      <c r="L160" s="21"/>
      <c r="M160" s="15">
        <f>22258</f>
        <v>22258</v>
      </c>
      <c r="N160" s="15"/>
      <c r="O160" s="15">
        <f>22258</f>
        <v>22258</v>
      </c>
      <c r="P160" s="15"/>
      <c r="Q160" s="15"/>
      <c r="R160" s="15"/>
      <c r="S160" s="15"/>
      <c r="T160" s="50">
        <f>0</f>
        <v>0</v>
      </c>
      <c r="U160" s="50"/>
    </row>
    <row r="161" spans="1:21" s="1" customFormat="1" ht="13.5" customHeight="1">
      <c r="A161" s="12" t="s">
        <v>134</v>
      </c>
      <c r="B161" s="12"/>
      <c r="C161" s="12"/>
      <c r="D161" s="12"/>
      <c r="E161" s="12"/>
      <c r="F161" s="12"/>
      <c r="G161" s="13" t="s">
        <v>98</v>
      </c>
      <c r="H161" s="13"/>
      <c r="I161" s="13" t="s">
        <v>221</v>
      </c>
      <c r="J161" s="13"/>
      <c r="K161" s="21" t="s">
        <v>136</v>
      </c>
      <c r="L161" s="21"/>
      <c r="M161" s="15">
        <f>684.56</f>
        <v>684.56</v>
      </c>
      <c r="N161" s="15"/>
      <c r="O161" s="19" t="s">
        <v>38</v>
      </c>
      <c r="P161" s="19"/>
      <c r="Q161" s="19"/>
      <c r="R161" s="19"/>
      <c r="S161" s="19"/>
      <c r="T161" s="50">
        <f>684.56</f>
        <v>684.56</v>
      </c>
      <c r="U161" s="50"/>
    </row>
    <row r="162" spans="1:21" s="1" customFormat="1" ht="13.5" customHeight="1">
      <c r="A162" s="12" t="s">
        <v>99</v>
      </c>
      <c r="B162" s="12"/>
      <c r="C162" s="12"/>
      <c r="D162" s="12"/>
      <c r="E162" s="12"/>
      <c r="F162" s="12"/>
      <c r="G162" s="13" t="s">
        <v>98</v>
      </c>
      <c r="H162" s="13"/>
      <c r="I162" s="13" t="s">
        <v>222</v>
      </c>
      <c r="J162" s="13"/>
      <c r="K162" s="21" t="s">
        <v>101</v>
      </c>
      <c r="L162" s="21"/>
      <c r="M162" s="15">
        <f>2045761</f>
        <v>2045761</v>
      </c>
      <c r="N162" s="15"/>
      <c r="O162" s="15">
        <f>1660944.67</f>
        <v>1660944.67</v>
      </c>
      <c r="P162" s="15"/>
      <c r="Q162" s="15"/>
      <c r="R162" s="15"/>
      <c r="S162" s="15"/>
      <c r="T162" s="50">
        <f>384816.33</f>
        <v>384816.33</v>
      </c>
      <c r="U162" s="50"/>
    </row>
    <row r="163" spans="1:21" s="1" customFormat="1" ht="13.5" customHeight="1">
      <c r="A163" s="12" t="s">
        <v>102</v>
      </c>
      <c r="B163" s="12"/>
      <c r="C163" s="12"/>
      <c r="D163" s="12"/>
      <c r="E163" s="12"/>
      <c r="F163" s="12"/>
      <c r="G163" s="13" t="s">
        <v>98</v>
      </c>
      <c r="H163" s="13"/>
      <c r="I163" s="13" t="s">
        <v>223</v>
      </c>
      <c r="J163" s="13"/>
      <c r="K163" s="21" t="s">
        <v>104</v>
      </c>
      <c r="L163" s="21"/>
      <c r="M163" s="15">
        <f>617819.18</f>
        <v>617819.18</v>
      </c>
      <c r="N163" s="15"/>
      <c r="O163" s="15">
        <f>501605.33</f>
        <v>501605.33</v>
      </c>
      <c r="P163" s="15"/>
      <c r="Q163" s="15"/>
      <c r="R163" s="15"/>
      <c r="S163" s="15"/>
      <c r="T163" s="50">
        <f>116213.85</f>
        <v>116213.85</v>
      </c>
      <c r="U163" s="50"/>
    </row>
    <row r="164" spans="1:21" s="1" customFormat="1" ht="13.5" customHeight="1">
      <c r="A164" s="12" t="s">
        <v>99</v>
      </c>
      <c r="B164" s="12"/>
      <c r="C164" s="12"/>
      <c r="D164" s="12"/>
      <c r="E164" s="12"/>
      <c r="F164" s="12"/>
      <c r="G164" s="13" t="s">
        <v>98</v>
      </c>
      <c r="H164" s="13"/>
      <c r="I164" s="13" t="s">
        <v>224</v>
      </c>
      <c r="J164" s="13"/>
      <c r="K164" s="21" t="s">
        <v>101</v>
      </c>
      <c r="L164" s="21"/>
      <c r="M164" s="15">
        <f>196770</f>
        <v>196770</v>
      </c>
      <c r="N164" s="15"/>
      <c r="O164" s="15">
        <f>196770</f>
        <v>196770</v>
      </c>
      <c r="P164" s="15"/>
      <c r="Q164" s="15"/>
      <c r="R164" s="15"/>
      <c r="S164" s="15"/>
      <c r="T164" s="50">
        <f>0</f>
        <v>0</v>
      </c>
      <c r="U164" s="50"/>
    </row>
    <row r="165" spans="1:21" s="1" customFormat="1" ht="13.5" customHeight="1">
      <c r="A165" s="12" t="s">
        <v>102</v>
      </c>
      <c r="B165" s="12"/>
      <c r="C165" s="12"/>
      <c r="D165" s="12"/>
      <c r="E165" s="12"/>
      <c r="F165" s="12"/>
      <c r="G165" s="13" t="s">
        <v>98</v>
      </c>
      <c r="H165" s="13"/>
      <c r="I165" s="13" t="s">
        <v>225</v>
      </c>
      <c r="J165" s="13"/>
      <c r="K165" s="21" t="s">
        <v>104</v>
      </c>
      <c r="L165" s="21"/>
      <c r="M165" s="15">
        <f>59430</f>
        <v>59430</v>
      </c>
      <c r="N165" s="15"/>
      <c r="O165" s="15">
        <f>59430</f>
        <v>59430</v>
      </c>
      <c r="P165" s="15"/>
      <c r="Q165" s="15"/>
      <c r="R165" s="15"/>
      <c r="S165" s="15"/>
      <c r="T165" s="50">
        <f>0</f>
        <v>0</v>
      </c>
      <c r="U165" s="50"/>
    </row>
    <row r="166" spans="1:21" s="1" customFormat="1" ht="13.5" customHeight="1">
      <c r="A166" s="12" t="s">
        <v>113</v>
      </c>
      <c r="B166" s="12"/>
      <c r="C166" s="12"/>
      <c r="D166" s="12"/>
      <c r="E166" s="12"/>
      <c r="F166" s="12"/>
      <c r="G166" s="13" t="s">
        <v>98</v>
      </c>
      <c r="H166" s="13"/>
      <c r="I166" s="13" t="s">
        <v>226</v>
      </c>
      <c r="J166" s="13"/>
      <c r="K166" s="21" t="s">
        <v>114</v>
      </c>
      <c r="L166" s="21"/>
      <c r="M166" s="15">
        <f>53900</f>
        <v>53900</v>
      </c>
      <c r="N166" s="15"/>
      <c r="O166" s="15">
        <f>53900</f>
        <v>53900</v>
      </c>
      <c r="P166" s="15"/>
      <c r="Q166" s="15"/>
      <c r="R166" s="15"/>
      <c r="S166" s="15"/>
      <c r="T166" s="50">
        <f>0</f>
        <v>0</v>
      </c>
      <c r="U166" s="50"/>
    </row>
    <row r="167" spans="1:21" s="1" customFormat="1" ht="13.5" customHeight="1">
      <c r="A167" s="12" t="s">
        <v>227</v>
      </c>
      <c r="B167" s="12"/>
      <c r="C167" s="12"/>
      <c r="D167" s="12"/>
      <c r="E167" s="12"/>
      <c r="F167" s="12"/>
      <c r="G167" s="13" t="s">
        <v>98</v>
      </c>
      <c r="H167" s="13"/>
      <c r="I167" s="13" t="s">
        <v>228</v>
      </c>
      <c r="J167" s="13"/>
      <c r="K167" s="21" t="s">
        <v>229</v>
      </c>
      <c r="L167" s="21"/>
      <c r="M167" s="15">
        <f>216000</f>
        <v>216000</v>
      </c>
      <c r="N167" s="15"/>
      <c r="O167" s="15">
        <f>198000</f>
        <v>198000</v>
      </c>
      <c r="P167" s="15"/>
      <c r="Q167" s="15"/>
      <c r="R167" s="15"/>
      <c r="S167" s="15"/>
      <c r="T167" s="50">
        <f>18000</f>
        <v>18000</v>
      </c>
      <c r="U167" s="50"/>
    </row>
    <row r="168" spans="1:21" s="1" customFormat="1" ht="24" customHeight="1">
      <c r="A168" s="12" t="s">
        <v>132</v>
      </c>
      <c r="B168" s="12"/>
      <c r="C168" s="12"/>
      <c r="D168" s="12"/>
      <c r="E168" s="12"/>
      <c r="F168" s="12"/>
      <c r="G168" s="13" t="s">
        <v>98</v>
      </c>
      <c r="H168" s="13"/>
      <c r="I168" s="13" t="s">
        <v>230</v>
      </c>
      <c r="J168" s="13"/>
      <c r="K168" s="21" t="s">
        <v>133</v>
      </c>
      <c r="L168" s="21"/>
      <c r="M168" s="15">
        <f>19100</f>
        <v>19100</v>
      </c>
      <c r="N168" s="15"/>
      <c r="O168" s="15">
        <f>13250</f>
        <v>13250</v>
      </c>
      <c r="P168" s="15"/>
      <c r="Q168" s="15"/>
      <c r="R168" s="15"/>
      <c r="S168" s="15"/>
      <c r="T168" s="50">
        <f>5850</f>
        <v>5850</v>
      </c>
      <c r="U168" s="50"/>
    </row>
    <row r="169" spans="1:21" s="1" customFormat="1" ht="15" customHeight="1">
      <c r="A169" s="46" t="s">
        <v>231</v>
      </c>
      <c r="B169" s="46"/>
      <c r="C169" s="46"/>
      <c r="D169" s="46"/>
      <c r="E169" s="46"/>
      <c r="F169" s="46"/>
      <c r="G169" s="47" t="s">
        <v>232</v>
      </c>
      <c r="H169" s="47"/>
      <c r="I169" s="47" t="s">
        <v>33</v>
      </c>
      <c r="J169" s="47"/>
      <c r="K169" s="48" t="s">
        <v>33</v>
      </c>
      <c r="L169" s="48"/>
      <c r="M169" s="49">
        <f>-5958261.87</f>
        <v>-5958261.87</v>
      </c>
      <c r="N169" s="49"/>
      <c r="O169" s="49">
        <f>-134220.31</f>
        <v>-134220.31</v>
      </c>
      <c r="P169" s="49"/>
      <c r="Q169" s="49"/>
      <c r="R169" s="49"/>
      <c r="S169" s="49"/>
      <c r="T169" s="41" t="s">
        <v>33</v>
      </c>
      <c r="U169" s="41"/>
    </row>
    <row r="170" spans="1:21" s="1" customFormat="1" ht="13.5" customHeight="1">
      <c r="A170" s="9" t="s">
        <v>7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" customFormat="1" ht="13.5" customHeight="1">
      <c r="A171" s="42" t="s">
        <v>233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s="1" customFormat="1" ht="45.75" customHeight="1">
      <c r="A172" s="43" t="s">
        <v>19</v>
      </c>
      <c r="B172" s="43"/>
      <c r="C172" s="43"/>
      <c r="D172" s="43"/>
      <c r="E172" s="43"/>
      <c r="F172" s="43"/>
      <c r="G172" s="43"/>
      <c r="H172" s="43" t="s">
        <v>20</v>
      </c>
      <c r="I172" s="43"/>
      <c r="J172" s="43" t="s">
        <v>234</v>
      </c>
      <c r="K172" s="43"/>
      <c r="L172" s="44" t="s">
        <v>22</v>
      </c>
      <c r="M172" s="44"/>
      <c r="N172" s="44" t="s">
        <v>23</v>
      </c>
      <c r="O172" s="44"/>
      <c r="P172" s="44"/>
      <c r="Q172" s="44"/>
      <c r="R172" s="44"/>
      <c r="S172" s="45" t="s">
        <v>24</v>
      </c>
      <c r="T172" s="45"/>
      <c r="U172" s="45"/>
    </row>
    <row r="173" spans="1:21" s="1" customFormat="1" ht="12.75" customHeight="1">
      <c r="A173" s="38" t="s">
        <v>25</v>
      </c>
      <c r="B173" s="38"/>
      <c r="C173" s="38"/>
      <c r="D173" s="38"/>
      <c r="E173" s="38"/>
      <c r="F173" s="38"/>
      <c r="G173" s="38"/>
      <c r="H173" s="38" t="s">
        <v>26</v>
      </c>
      <c r="I173" s="38"/>
      <c r="J173" s="38" t="s">
        <v>27</v>
      </c>
      <c r="K173" s="38"/>
      <c r="L173" s="39" t="s">
        <v>28</v>
      </c>
      <c r="M173" s="39"/>
      <c r="N173" s="39" t="s">
        <v>29</v>
      </c>
      <c r="O173" s="39"/>
      <c r="P173" s="39"/>
      <c r="Q173" s="39"/>
      <c r="R173" s="39"/>
      <c r="S173" s="40" t="s">
        <v>30</v>
      </c>
      <c r="T173" s="40"/>
      <c r="U173" s="40"/>
    </row>
    <row r="174" spans="1:21" s="1" customFormat="1" ht="13.5" customHeight="1">
      <c r="A174" s="33" t="s">
        <v>235</v>
      </c>
      <c r="B174" s="33"/>
      <c r="C174" s="33"/>
      <c r="D174" s="33"/>
      <c r="E174" s="33"/>
      <c r="F174" s="33"/>
      <c r="G174" s="33"/>
      <c r="H174" s="34" t="s">
        <v>236</v>
      </c>
      <c r="I174" s="34"/>
      <c r="J174" s="34" t="s">
        <v>33</v>
      </c>
      <c r="K174" s="34"/>
      <c r="L174" s="35">
        <f>5958261.87</f>
        <v>5958261.87</v>
      </c>
      <c r="M174" s="35"/>
      <c r="N174" s="36">
        <f>134220.31</f>
        <v>134220.31</v>
      </c>
      <c r="O174" s="36"/>
      <c r="P174" s="36"/>
      <c r="Q174" s="36"/>
      <c r="R174" s="36"/>
      <c r="S174" s="37" t="s">
        <v>33</v>
      </c>
      <c r="T174" s="37"/>
      <c r="U174" s="37"/>
    </row>
    <row r="175" spans="1:21" s="1" customFormat="1" ht="13.5" customHeight="1">
      <c r="A175" s="31" t="s">
        <v>237</v>
      </c>
      <c r="B175" s="31"/>
      <c r="C175" s="31"/>
      <c r="D175" s="31"/>
      <c r="E175" s="31"/>
      <c r="F175" s="31"/>
      <c r="G175" s="31"/>
      <c r="H175" s="22" t="s">
        <v>7</v>
      </c>
      <c r="I175" s="22"/>
      <c r="J175" s="22" t="s">
        <v>7</v>
      </c>
      <c r="K175" s="22"/>
      <c r="L175" s="23" t="s">
        <v>7</v>
      </c>
      <c r="M175" s="23"/>
      <c r="N175" s="32" t="s">
        <v>7</v>
      </c>
      <c r="O175" s="32"/>
      <c r="P175" s="32"/>
      <c r="Q175" s="32"/>
      <c r="R175" s="32"/>
      <c r="S175" s="24" t="s">
        <v>7</v>
      </c>
      <c r="T175" s="24"/>
      <c r="U175" s="24"/>
    </row>
    <row r="176" spans="1:21" s="1" customFormat="1" ht="13.5" customHeight="1">
      <c r="A176" s="25" t="s">
        <v>238</v>
      </c>
      <c r="B176" s="25"/>
      <c r="C176" s="25"/>
      <c r="D176" s="25"/>
      <c r="E176" s="25"/>
      <c r="F176" s="25"/>
      <c r="G176" s="25"/>
      <c r="H176" s="26" t="s">
        <v>239</v>
      </c>
      <c r="I176" s="26"/>
      <c r="J176" s="27" t="s">
        <v>33</v>
      </c>
      <c r="K176" s="27"/>
      <c r="L176" s="28" t="s">
        <v>38</v>
      </c>
      <c r="M176" s="28"/>
      <c r="N176" s="29" t="s">
        <v>38</v>
      </c>
      <c r="O176" s="29"/>
      <c r="P176" s="29"/>
      <c r="Q176" s="29"/>
      <c r="R176" s="29"/>
      <c r="S176" s="30" t="s">
        <v>38</v>
      </c>
      <c r="T176" s="30"/>
      <c r="U176" s="30"/>
    </row>
    <row r="177" spans="1:21" s="1" customFormat="1" ht="13.5" customHeight="1">
      <c r="A177" s="21" t="s">
        <v>7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1" customFormat="1" ht="13.5" customHeight="1">
      <c r="A178" s="12" t="s">
        <v>240</v>
      </c>
      <c r="B178" s="12"/>
      <c r="C178" s="12"/>
      <c r="D178" s="12"/>
      <c r="E178" s="12"/>
      <c r="F178" s="12"/>
      <c r="G178" s="12"/>
      <c r="H178" s="22" t="s">
        <v>241</v>
      </c>
      <c r="I178" s="22"/>
      <c r="J178" s="22" t="s">
        <v>33</v>
      </c>
      <c r="K178" s="22"/>
      <c r="L178" s="23" t="s">
        <v>38</v>
      </c>
      <c r="M178" s="23"/>
      <c r="N178" s="19" t="s">
        <v>38</v>
      </c>
      <c r="O178" s="19"/>
      <c r="P178" s="19"/>
      <c r="Q178" s="19"/>
      <c r="R178" s="19"/>
      <c r="S178" s="24" t="s">
        <v>38</v>
      </c>
      <c r="T178" s="24"/>
      <c r="U178" s="24"/>
    </row>
    <row r="179" spans="1:21" s="1" customFormat="1" ht="13.5" customHeight="1">
      <c r="A179" s="12" t="s">
        <v>7</v>
      </c>
      <c r="B179" s="12"/>
      <c r="C179" s="12"/>
      <c r="D179" s="12"/>
      <c r="E179" s="12"/>
      <c r="F179" s="12"/>
      <c r="G179" s="12"/>
      <c r="H179" s="13" t="s">
        <v>241</v>
      </c>
      <c r="I179" s="13"/>
      <c r="J179" s="13" t="s">
        <v>7</v>
      </c>
      <c r="K179" s="13"/>
      <c r="L179" s="18" t="s">
        <v>38</v>
      </c>
      <c r="M179" s="18"/>
      <c r="N179" s="19" t="s">
        <v>38</v>
      </c>
      <c r="O179" s="19"/>
      <c r="P179" s="19"/>
      <c r="Q179" s="19"/>
      <c r="R179" s="19"/>
      <c r="S179" s="20" t="s">
        <v>38</v>
      </c>
      <c r="T179" s="20"/>
      <c r="U179" s="20"/>
    </row>
    <row r="180" spans="1:21" s="1" customFormat="1" ht="13.5" customHeight="1">
      <c r="A180" s="12" t="s">
        <v>242</v>
      </c>
      <c r="B180" s="12"/>
      <c r="C180" s="12"/>
      <c r="D180" s="12"/>
      <c r="E180" s="12"/>
      <c r="F180" s="12"/>
      <c r="G180" s="12"/>
      <c r="H180" s="13" t="s">
        <v>243</v>
      </c>
      <c r="I180" s="13"/>
      <c r="J180" s="13" t="s">
        <v>244</v>
      </c>
      <c r="K180" s="13"/>
      <c r="L180" s="14">
        <f>5958261.87</f>
        <v>5958261.87</v>
      </c>
      <c r="M180" s="14"/>
      <c r="N180" s="15">
        <f>134220.31</f>
        <v>134220.31</v>
      </c>
      <c r="O180" s="15"/>
      <c r="P180" s="15"/>
      <c r="Q180" s="15"/>
      <c r="R180" s="15"/>
      <c r="S180" s="17">
        <f>5824041.56</f>
        <v>5824041.56</v>
      </c>
      <c r="T180" s="17"/>
      <c r="U180" s="17"/>
    </row>
    <row r="181" spans="1:21" s="1" customFormat="1" ht="13.5" customHeight="1">
      <c r="A181" s="12" t="s">
        <v>245</v>
      </c>
      <c r="B181" s="12"/>
      <c r="C181" s="12"/>
      <c r="D181" s="12"/>
      <c r="E181" s="12"/>
      <c r="F181" s="12"/>
      <c r="G181" s="12"/>
      <c r="H181" s="13" t="s">
        <v>246</v>
      </c>
      <c r="I181" s="13"/>
      <c r="J181" s="13" t="s">
        <v>247</v>
      </c>
      <c r="K181" s="13"/>
      <c r="L181" s="14">
        <f>-57541688.45</f>
        <v>-57541688.45</v>
      </c>
      <c r="M181" s="14"/>
      <c r="N181" s="15">
        <f>-54190133.8</f>
        <v>-54190133.8</v>
      </c>
      <c r="O181" s="15"/>
      <c r="P181" s="15"/>
      <c r="Q181" s="15"/>
      <c r="R181" s="15"/>
      <c r="S181" s="16" t="s">
        <v>33</v>
      </c>
      <c r="T181" s="16"/>
      <c r="U181" s="16"/>
    </row>
    <row r="182" spans="1:21" s="1" customFormat="1" ht="13.5" customHeight="1">
      <c r="A182" s="12" t="s">
        <v>248</v>
      </c>
      <c r="B182" s="12"/>
      <c r="C182" s="12"/>
      <c r="D182" s="12"/>
      <c r="E182" s="12"/>
      <c r="F182" s="12"/>
      <c r="G182" s="12"/>
      <c r="H182" s="13" t="s">
        <v>249</v>
      </c>
      <c r="I182" s="13"/>
      <c r="J182" s="13" t="s">
        <v>250</v>
      </c>
      <c r="K182" s="13"/>
      <c r="L182" s="14">
        <f>63499950.32</f>
        <v>63499950.32</v>
      </c>
      <c r="M182" s="14"/>
      <c r="N182" s="15">
        <f>54324354.11</f>
        <v>54324354.11</v>
      </c>
      <c r="O182" s="15"/>
      <c r="P182" s="15"/>
      <c r="Q182" s="15"/>
      <c r="R182" s="15"/>
      <c r="S182" s="16" t="s">
        <v>33</v>
      </c>
      <c r="T182" s="16"/>
      <c r="U182" s="16"/>
    </row>
    <row r="183" spans="1:21" s="1" customFormat="1" ht="13.5" customHeight="1">
      <c r="A183" s="8" t="s">
        <v>7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s="1" customFormat="1" ht="15.75" customHeight="1">
      <c r="A184" s="9" t="s">
        <v>7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1" customFormat="1" ht="13.5" customHeight="1">
      <c r="A185" s="10" t="s">
        <v>251</v>
      </c>
      <c r="B185" s="10"/>
      <c r="C185" s="10"/>
      <c r="D185" s="10"/>
      <c r="E185" s="10"/>
      <c r="F185" s="9" t="s">
        <v>7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1" customFormat="1" ht="13.5" customHeight="1">
      <c r="A186" s="11" t="s">
        <v>252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</sheetData>
  <sheetProtection/>
  <mergeCells count="116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M44:N44"/>
    <mergeCell ref="O44:S44"/>
    <mergeCell ref="T44:U44"/>
    <mergeCell ref="A41:G41"/>
    <mergeCell ref="H41:I41"/>
    <mergeCell ref="J41:K41"/>
    <mergeCell ref="L41:M41"/>
    <mergeCell ref="N41:R41"/>
    <mergeCell ref="S41:U41"/>
    <mergeCell ref="I45:J45"/>
    <mergeCell ref="K45:L45"/>
    <mergeCell ref="M45:N45"/>
    <mergeCell ref="O45:S45"/>
    <mergeCell ref="A42:U42"/>
    <mergeCell ref="A43:U43"/>
    <mergeCell ref="A44:F44"/>
    <mergeCell ref="G44:H44"/>
    <mergeCell ref="I44:J44"/>
    <mergeCell ref="K44:L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A167:F167"/>
    <mergeCell ref="G167:H167"/>
    <mergeCell ref="I167:J167"/>
    <mergeCell ref="K167:L167"/>
    <mergeCell ref="M167:N167"/>
    <mergeCell ref="O167:S167"/>
    <mergeCell ref="A168:F168"/>
    <mergeCell ref="G168:H168"/>
    <mergeCell ref="I168:J168"/>
    <mergeCell ref="K168:L168"/>
    <mergeCell ref="M168:N168"/>
    <mergeCell ref="O168:S168"/>
    <mergeCell ref="G169:H169"/>
    <mergeCell ref="I169:J169"/>
    <mergeCell ref="K169:L169"/>
    <mergeCell ref="M169:N169"/>
    <mergeCell ref="O169:S169"/>
    <mergeCell ref="T167:U167"/>
    <mergeCell ref="T168:U168"/>
    <mergeCell ref="T169:U169"/>
    <mergeCell ref="A170:U170"/>
    <mergeCell ref="A171:U171"/>
    <mergeCell ref="A172:G172"/>
    <mergeCell ref="H172:I172"/>
    <mergeCell ref="J172:K172"/>
    <mergeCell ref="L172:M172"/>
    <mergeCell ref="N172:R172"/>
    <mergeCell ref="S172:U172"/>
    <mergeCell ref="A169:F169"/>
    <mergeCell ref="A173:G173"/>
    <mergeCell ref="H173:I173"/>
    <mergeCell ref="J173:K173"/>
    <mergeCell ref="L173:M173"/>
    <mergeCell ref="N173:R173"/>
    <mergeCell ref="S173:U173"/>
    <mergeCell ref="A174:G174"/>
    <mergeCell ref="H174:I174"/>
    <mergeCell ref="J174:K174"/>
    <mergeCell ref="L174:M174"/>
    <mergeCell ref="N174:R174"/>
    <mergeCell ref="S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A177:U177"/>
    <mergeCell ref="A178:G178"/>
    <mergeCell ref="H178:I178"/>
    <mergeCell ref="J178:K178"/>
    <mergeCell ref="L178:M178"/>
    <mergeCell ref="N178:R178"/>
    <mergeCell ref="S178:U178"/>
    <mergeCell ref="A179:G179"/>
    <mergeCell ref="H179:I179"/>
    <mergeCell ref="J179:K179"/>
    <mergeCell ref="L179:M179"/>
    <mergeCell ref="N179:R179"/>
    <mergeCell ref="S179:U179"/>
    <mergeCell ref="A180:G180"/>
    <mergeCell ref="H180:I180"/>
    <mergeCell ref="J180:K180"/>
    <mergeCell ref="L180:M180"/>
    <mergeCell ref="N180:R180"/>
    <mergeCell ref="S180:U180"/>
    <mergeCell ref="S182:U182"/>
    <mergeCell ref="A181:G181"/>
    <mergeCell ref="H181:I181"/>
    <mergeCell ref="J181:K181"/>
    <mergeCell ref="L181:M181"/>
    <mergeCell ref="N181:R181"/>
    <mergeCell ref="S181:U181"/>
    <mergeCell ref="A183:U183"/>
    <mergeCell ref="A184:U184"/>
    <mergeCell ref="A185:E185"/>
    <mergeCell ref="F185:U185"/>
    <mergeCell ref="A186:U186"/>
    <mergeCell ref="A182:G182"/>
    <mergeCell ref="H182:I182"/>
    <mergeCell ref="J182:K182"/>
    <mergeCell ref="L182:M182"/>
    <mergeCell ref="N182:R182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2" max="255" man="1"/>
    <brk id="17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2019-12-02T11:56:12Z</cp:lastPrinted>
  <dcterms:created xsi:type="dcterms:W3CDTF">2019-12-02T06:30:30Z</dcterms:created>
  <dcterms:modified xsi:type="dcterms:W3CDTF">2019-12-02T11:56:14Z</dcterms:modified>
  <cp:category/>
  <cp:version/>
  <cp:contentType/>
  <cp:contentStatus/>
</cp:coreProperties>
</file>