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<sst xmlns="http://schemas.openxmlformats.org/spreadsheetml/2006/main" count="471" uniqueCount="223">
  <si>
    <t>ОТЧЕТ ОБ ИСПОЛНЕНИИ БЮДЖЕТА</t>
  </si>
  <si>
    <t>КОДЫ</t>
  </si>
  <si>
    <t xml:space="preserve">Форма по ОКУД </t>
  </si>
  <si>
    <t>0503117</t>
  </si>
  <si>
    <t>на 1 сентября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</si>
  <si>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</si>
  <si>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</si>
  <si>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</si>
  <si>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</si>
  <si>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</si>
  <si>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</si>
  <si>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</si>
  <si>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</si>
  <si>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</si>
  <si>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</si>
  <si>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</si>
  <si>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</si>
  <si>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</si>
  <si>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</si>
  <si>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</si>
  <si>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</si>
  <si>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</si>
  <si>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</si>
  <si>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</si>
  <si>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</si>
  <si>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</si>
  <si>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</si>
  <si>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</si>
  <si>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</si>
  <si>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</si>
  <si>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</si>
  <si>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</si>
  <si>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</si>
  <si>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</si>
  <si>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</si>
  <si>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</si>
  <si>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</si>
  <si>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</si>
  <si>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</si>
  <si>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</si>
  <si>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</si>
  <si>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</si>
  <si>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</si>
  <si>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</si>
  <si>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</si>
  <si>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</si>
  <si>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</si>
  <si>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</si>
  <si>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</si>
  <si>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</si>
  <si>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</si>
  <si>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</si>
  <si>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</si>
  <si>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</si>
  <si>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</si>
  <si>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</si>
  <si>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</si>
  <si>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</si>
  <si>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</si>
  <si>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</si>
  <si>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</si>
  <si>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</si>
  <si>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</si>
  <si>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</si>
  <si>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</si>
  <si>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</si>
  <si>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</si>
  <si>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</si>
  <si>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</si>
  <si>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</si>
  <si>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</si>
  <si>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</si>
  <si>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</si>
  <si>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</si>
  <si>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</si>
  <si>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</si>
  <si>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</si>
  <si>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</si>
  <si>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</si>
  <si>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</si>
  <si>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</si>
  <si>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</si>
  <si>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</si>
  <si>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</si>
  <si>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</si>
  <si>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</si>
  <si>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</si>
  <si>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</si>
  <si>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</si>
  <si>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</si>
  <si>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</si>
  <si>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</si>
  <si>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</si>
  <si>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</si>
  <si>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</si>
  <si>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</si>
  <si>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</si>
  <si>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</si>
  <si>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</si>
  <si>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</si>
  <si>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</si>
  <si>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</si>
  <si>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</si>
  <si>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</si>
  <si>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</si>
  <si>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</si>
  <si>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</si>
  <si>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</si>
  <si>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</si>
  <si>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</si>
  <si>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Специальные расходы</t>
  </si>
  <si>
    <t>650 0107 6000079990 880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</si>
  <si>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</si>
  <si>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</si>
  <si>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</si>
  <si>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</si>
  <si>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</si>
  <si>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</si>
  <si>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</si>
  <si>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</si>
  <si>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</si>
  <si>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</si>
  <si>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</si>
  <si>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</si>
  <si>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650 0113 0104279990 244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</si>
  <si>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</si>
  <si>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</si>
  <si>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</si>
  <si>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</si>
  <si>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</si>
  <si>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</si>
  <si>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</si>
  <si>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</si>
  <si>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</si>
  <si>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</si>
  <si>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650 0113 0104300590 853</t>
  </si>
  <si>
    <t>650 0113 0401074040 244</t>
  </si>
  <si>
    <t>Закупка энергетических ресурсов</t>
  </si>
  <si>
    <t>650 0113 0401074040 247</t>
  </si>
  <si>
    <t>650 0203 0104251180 121</t>
  </si>
  <si>
    <t>650 0203 0104251180 122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</si>
  <si>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</si>
  <si>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</si>
  <si>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</si>
  <si>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</si>
  <si>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</si>
  <si>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</si>
  <si>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</si>
  <si>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</si>
  <si>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</si>
  <si>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</si>
  <si>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</si>
  <si>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</si>
  <si>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</si>
  <si>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</si>
  <si>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</si>
  <si>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</si>
  <si>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</si>
  <si>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</si>
  <si>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</si>
  <si>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</si>
  <si>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</si>
  <si>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</si>
  <si>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650 0409 0301089190 244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</si>
  <si>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</si>
  <si>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</si>
  <si>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</si>
  <si>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</si>
  <si>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</si>
  <si>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</si>
  <si>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</si>
  <si>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</si>
  <si>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</si>
  <si>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</si>
  <si>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</si>
  <si>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</si>
  <si>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650 0503 0503070990 244</t>
  </si>
  <si>
    <t>650 0503 0503076500 244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</si>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</sst>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30">
      <selection activeCell="A147" sqref="A147:IV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0" t="s">
        <v>5</v>
      </c>
      <c r="N3" s="30"/>
      <c r="O3" s="4">
        <v>44440</v>
      </c>
    </row>
    <row r="4" spans="1:15" s="1" customFormat="1" ht="13.5" customHeight="1">
      <c r="A4" s="28" t="s">
        <v>6</v>
      </c>
      <c r="B4" s="28"/>
      <c r="C4" s="28"/>
      <c r="D4" s="63" t="s">
        <v>7</v>
      </c>
      <c r="E4" s="63"/>
      <c r="F4" s="63"/>
      <c r="G4" s="63"/>
      <c r="H4" s="63"/>
      <c r="I4" s="63"/>
      <c r="J4" s="63"/>
      <c r="K4" s="63"/>
      <c r="L4" s="30" t="s">
        <v>8</v>
      </c>
      <c r="M4" s="30"/>
      <c r="N4" s="30"/>
      <c r="O4" s="6" t="s">
        <v>10</v>
      </c>
    </row>
    <row r="5" spans="1:15" s="1" customFormat="1" ht="13.5" customHeight="1">
      <c r="A5" s="28"/>
      <c r="B5" s="28"/>
      <c r="C5" s="28"/>
      <c r="D5" s="63"/>
      <c r="E5" s="63"/>
      <c r="F5" s="63"/>
      <c r="G5" s="63"/>
      <c r="H5" s="63"/>
      <c r="I5" s="63"/>
      <c r="J5" s="63"/>
      <c r="K5" s="63"/>
      <c r="L5" s="30" t="s">
        <v>9</v>
      </c>
      <c r="M5" s="30"/>
      <c r="N5" s="30"/>
      <c r="O5" s="6" t="s">
        <v>11</v>
      </c>
    </row>
    <row r="6" spans="1:15" s="1" customFormat="1" ht="13.5" customHeight="1">
      <c r="A6" s="28" t="s">
        <v>12</v>
      </c>
      <c r="B6" s="28"/>
      <c r="C6" s="28"/>
      <c r="D6" s="28"/>
      <c r="E6" s="63" t="s">
        <v>13</v>
      </c>
      <c r="F6" s="63"/>
      <c r="G6" s="63"/>
      <c r="H6" s="63"/>
      <c r="I6" s="63"/>
      <c r="J6" s="63"/>
      <c r="K6" s="63"/>
      <c r="L6" s="30" t="s">
        <v>14</v>
      </c>
      <c r="M6" s="30"/>
      <c r="N6" s="30"/>
      <c r="O6" s="6" t="s">
        <v>15</v>
      </c>
    </row>
    <row r="7" spans="1:15" s="1" customFormat="1" ht="13.5" customHeight="1">
      <c r="A7" s="5" t="s">
        <v>16</v>
      </c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" t="s">
        <v>18</v>
      </c>
    </row>
    <row r="8" spans="1:15" s="1" customFormat="1" ht="13.5" customHeight="1">
      <c r="A8" s="28" t="s">
        <v>19</v>
      </c>
      <c r="B8" s="28"/>
      <c r="C8" s="28" t="s">
        <v>20</v>
      </c>
      <c r="D8" s="28"/>
      <c r="E8" s="28"/>
      <c r="F8" s="28"/>
      <c r="G8" s="28"/>
      <c r="H8" s="28"/>
      <c r="I8" s="28"/>
      <c r="J8" s="28"/>
      <c r="K8" s="30" t="s">
        <v>21</v>
      </c>
      <c r="L8" s="30"/>
      <c r="M8" s="30"/>
      <c r="N8" s="30"/>
      <c r="O8" s="7" t="s">
        <v>22</v>
      </c>
    </row>
    <row r="9" spans="1:15" s="1" customFormat="1" ht="13.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34.5" customHeight="1">
      <c r="A10" s="48" t="s">
        <v>24</v>
      </c>
      <c r="B10" s="48"/>
      <c r="C10" s="48"/>
      <c r="D10" s="48"/>
      <c r="E10" s="48"/>
      <c r="F10" s="48"/>
      <c r="G10" s="8" t="s">
        <v>25</v>
      </c>
      <c r="H10" s="8" t="s">
        <v>26</v>
      </c>
      <c r="I10" s="9" t="s">
        <v>27</v>
      </c>
      <c r="J10" s="49" t="s">
        <v>28</v>
      </c>
      <c r="K10" s="49"/>
      <c r="L10" s="49"/>
      <c r="M10" s="49"/>
      <c r="N10" s="50" t="s">
        <v>29</v>
      </c>
      <c r="O10" s="50"/>
    </row>
    <row r="11" spans="1:15" s="1" customFormat="1" ht="12.75" customHeight="1">
      <c r="A11" s="51" t="s">
        <v>30</v>
      </c>
      <c r="B11" s="51"/>
      <c r="C11" s="51"/>
      <c r="D11" s="51"/>
      <c r="E11" s="51"/>
      <c r="F11" s="51"/>
      <c r="G11" s="10" t="s">
        <v>31</v>
      </c>
      <c r="H11" s="10" t="s">
        <v>32</v>
      </c>
      <c r="I11" s="11" t="s">
        <v>33</v>
      </c>
      <c r="J11" s="52" t="s">
        <v>34</v>
      </c>
      <c r="K11" s="52"/>
      <c r="L11" s="52"/>
      <c r="M11" s="52"/>
      <c r="N11" s="53" t="s">
        <v>35</v>
      </c>
      <c r="O11" s="53"/>
    </row>
    <row r="12" spans="1:15" s="1" customFormat="1" ht="13.5" customHeight="1">
      <c r="A12" s="42" t="s">
        <v>36</v>
      </c>
      <c r="B12" s="42"/>
      <c r="C12" s="42"/>
      <c r="D12" s="42"/>
      <c r="E12" s="42"/>
      <c r="F12" s="42"/>
      <c r="G12" s="12" t="s">
        <v>37</v>
      </c>
      <c r="H12" s="12" t="s">
        <v>38</v>
      </c>
      <c r="I12" s="13">
        <f>78257832.81</f>
        <v>78257832.81</v>
      </c>
      <c r="J12" s="43">
        <f>50749653.86</f>
        <v>50749653.86</v>
      </c>
      <c r="K12" s="43"/>
      <c r="L12" s="43"/>
      <c r="M12" s="43"/>
      <c r="N12" s="58">
        <f>27508178.95</f>
        <v>27508178.95</v>
      </c>
      <c r="O12" s="58"/>
    </row>
    <row r="13" spans="1:15" s="1" customFormat="1" ht="45" customHeight="1">
      <c r="A13" s="37" t="s">
        <v>39</v>
      </c>
      <c r="B13" s="37"/>
      <c r="C13" s="37"/>
      <c r="D13" s="37"/>
      <c r="E13" s="37"/>
      <c r="F13" s="37"/>
      <c r="G13" s="14" t="s">
        <v>37</v>
      </c>
      <c r="H13" s="14" t="s">
        <v>40</v>
      </c>
      <c r="I13" s="15">
        <f>410000</f>
        <v>410000</v>
      </c>
      <c r="J13" s="59">
        <f>408281.2</f>
        <v>408281.2</v>
      </c>
      <c r="K13" s="59"/>
      <c r="L13" s="59"/>
      <c r="M13" s="59"/>
      <c r="N13" s="60">
        <f>1718.8</f>
        <v>1718.8</v>
      </c>
      <c r="O13" s="60"/>
    </row>
    <row r="14" spans="1:15" s="1" customFormat="1" ht="33.75" customHeight="1">
      <c r="A14" s="37" t="s">
        <v>41</v>
      </c>
      <c r="B14" s="37"/>
      <c r="C14" s="37"/>
      <c r="D14" s="37"/>
      <c r="E14" s="37"/>
      <c r="F14" s="37"/>
      <c r="G14" s="14" t="s">
        <v>37</v>
      </c>
      <c r="H14" s="14" t="s">
        <v>42</v>
      </c>
      <c r="I14" s="15">
        <f>80447.47</f>
        <v>80447.47</v>
      </c>
      <c r="J14" s="59">
        <f>83308.69</f>
        <v>83308.69</v>
      </c>
      <c r="K14" s="59"/>
      <c r="L14" s="59"/>
      <c r="M14" s="59"/>
      <c r="N14" s="62" t="s">
        <v>43</v>
      </c>
      <c r="O14" s="62"/>
    </row>
    <row r="15" spans="1:15" s="1" customFormat="1" ht="66" customHeight="1">
      <c r="A15" s="37" t="s">
        <v>44</v>
      </c>
      <c r="B15" s="37"/>
      <c r="C15" s="37"/>
      <c r="D15" s="37"/>
      <c r="E15" s="37"/>
      <c r="F15" s="37"/>
      <c r="G15" s="14" t="s">
        <v>37</v>
      </c>
      <c r="H15" s="14" t="s">
        <v>45</v>
      </c>
      <c r="I15" s="15">
        <f>3123530.19</f>
        <v>3123530.19</v>
      </c>
      <c r="J15" s="59">
        <f>1875537.76</f>
        <v>1875537.76</v>
      </c>
      <c r="K15" s="59"/>
      <c r="L15" s="59"/>
      <c r="M15" s="59"/>
      <c r="N15" s="60">
        <f>1247992.43</f>
        <v>1247992.43</v>
      </c>
      <c r="O15" s="60"/>
    </row>
    <row r="16" spans="1:15" s="1" customFormat="1" ht="75.75" customHeight="1">
      <c r="A16" s="37" t="s">
        <v>46</v>
      </c>
      <c r="B16" s="37"/>
      <c r="C16" s="37"/>
      <c r="D16" s="37"/>
      <c r="E16" s="37"/>
      <c r="F16" s="37"/>
      <c r="G16" s="14" t="s">
        <v>37</v>
      </c>
      <c r="H16" s="14" t="s">
        <v>47</v>
      </c>
      <c r="I16" s="15">
        <f>15670</f>
        <v>15670</v>
      </c>
      <c r="J16" s="59">
        <f>13974.25</f>
        <v>13974.25</v>
      </c>
      <c r="K16" s="59"/>
      <c r="L16" s="59"/>
      <c r="M16" s="59"/>
      <c r="N16" s="60">
        <f>1695.75</f>
        <v>1695.75</v>
      </c>
      <c r="O16" s="60"/>
    </row>
    <row r="17" spans="1:15" s="1" customFormat="1" ht="66" customHeight="1">
      <c r="A17" s="37" t="s">
        <v>48</v>
      </c>
      <c r="B17" s="37"/>
      <c r="C17" s="37"/>
      <c r="D17" s="37"/>
      <c r="E17" s="37"/>
      <c r="F17" s="37"/>
      <c r="G17" s="14" t="s">
        <v>37</v>
      </c>
      <c r="H17" s="14" t="s">
        <v>49</v>
      </c>
      <c r="I17" s="15">
        <f>4068540</f>
        <v>4068540</v>
      </c>
      <c r="J17" s="59">
        <f>2603018.17</f>
        <v>2603018.17</v>
      </c>
      <c r="K17" s="59"/>
      <c r="L17" s="59"/>
      <c r="M17" s="59"/>
      <c r="N17" s="60">
        <f>1465521.83</f>
        <v>1465521.83</v>
      </c>
      <c r="O17" s="60"/>
    </row>
    <row r="18" spans="1:15" s="1" customFormat="1" ht="66" customHeight="1">
      <c r="A18" s="37" t="s">
        <v>50</v>
      </c>
      <c r="B18" s="37"/>
      <c r="C18" s="37"/>
      <c r="D18" s="37"/>
      <c r="E18" s="37"/>
      <c r="F18" s="37"/>
      <c r="G18" s="14" t="s">
        <v>37</v>
      </c>
      <c r="H18" s="14" t="s">
        <v>51</v>
      </c>
      <c r="I18" s="15">
        <f>-431960</f>
        <v>-431960</v>
      </c>
      <c r="J18" s="59">
        <f>-342647.35</f>
        <v>-342647.35</v>
      </c>
      <c r="K18" s="59"/>
      <c r="L18" s="59"/>
      <c r="M18" s="59"/>
      <c r="N18" s="60">
        <f>-89312.65</f>
        <v>-89312.65</v>
      </c>
      <c r="O18" s="60"/>
    </row>
    <row r="19" spans="1:15" s="1" customFormat="1" ht="45" customHeight="1">
      <c r="A19" s="37" t="s">
        <v>52</v>
      </c>
      <c r="B19" s="37"/>
      <c r="C19" s="37"/>
      <c r="D19" s="37"/>
      <c r="E19" s="37"/>
      <c r="F19" s="37"/>
      <c r="G19" s="14" t="s">
        <v>37</v>
      </c>
      <c r="H19" s="14" t="s">
        <v>53</v>
      </c>
      <c r="I19" s="15">
        <f>6316942.5</f>
        <v>6316942.5</v>
      </c>
      <c r="J19" s="59">
        <f>4854295.62</f>
        <v>4854295.62</v>
      </c>
      <c r="K19" s="59"/>
      <c r="L19" s="59"/>
      <c r="M19" s="59"/>
      <c r="N19" s="60">
        <f>1462646.88</f>
        <v>1462646.88</v>
      </c>
      <c r="O19" s="60"/>
    </row>
    <row r="20" spans="1:15" s="1" customFormat="1" ht="66" customHeight="1">
      <c r="A20" s="37" t="s">
        <v>54</v>
      </c>
      <c r="B20" s="37"/>
      <c r="C20" s="37"/>
      <c r="D20" s="37"/>
      <c r="E20" s="37"/>
      <c r="F20" s="37"/>
      <c r="G20" s="14" t="s">
        <v>37</v>
      </c>
      <c r="H20" s="14" t="s">
        <v>55</v>
      </c>
      <c r="I20" s="15">
        <f>6014.97</f>
        <v>6014.97</v>
      </c>
      <c r="J20" s="59">
        <f>6014.97</f>
        <v>6014.97</v>
      </c>
      <c r="K20" s="59"/>
      <c r="L20" s="59"/>
      <c r="M20" s="59"/>
      <c r="N20" s="60">
        <f>0</f>
        <v>0</v>
      </c>
      <c r="O20" s="60"/>
    </row>
    <row r="21" spans="1:15" s="1" customFormat="1" ht="24" customHeight="1">
      <c r="A21" s="37" t="s">
        <v>56</v>
      </c>
      <c r="B21" s="37"/>
      <c r="C21" s="37"/>
      <c r="D21" s="37"/>
      <c r="E21" s="37"/>
      <c r="F21" s="37"/>
      <c r="G21" s="14" t="s">
        <v>37</v>
      </c>
      <c r="H21" s="14" t="s">
        <v>57</v>
      </c>
      <c r="I21" s="15">
        <f>177042.53</f>
        <v>177042.53</v>
      </c>
      <c r="J21" s="59">
        <f>177042.53</f>
        <v>177042.53</v>
      </c>
      <c r="K21" s="59"/>
      <c r="L21" s="59"/>
      <c r="M21" s="59"/>
      <c r="N21" s="60">
        <f>0</f>
        <v>0</v>
      </c>
      <c r="O21" s="60"/>
    </row>
    <row r="22" spans="1:15" s="1" customFormat="1" ht="13.5" customHeight="1">
      <c r="A22" s="37" t="s">
        <v>58</v>
      </c>
      <c r="B22" s="37"/>
      <c r="C22" s="37"/>
      <c r="D22" s="37"/>
      <c r="E22" s="37"/>
      <c r="F22" s="37"/>
      <c r="G22" s="14" t="s">
        <v>37</v>
      </c>
      <c r="H22" s="14" t="s">
        <v>59</v>
      </c>
      <c r="I22" s="15">
        <f>185425.58</f>
        <v>185425.58</v>
      </c>
      <c r="J22" s="59">
        <f>185425.58</f>
        <v>185425.58</v>
      </c>
      <c r="K22" s="59"/>
      <c r="L22" s="59"/>
      <c r="M22" s="59"/>
      <c r="N22" s="60">
        <f>0</f>
        <v>0</v>
      </c>
      <c r="O22" s="60"/>
    </row>
    <row r="23" spans="1:15" s="1" customFormat="1" ht="13.5" customHeight="1">
      <c r="A23" s="37" t="s">
        <v>60</v>
      </c>
      <c r="B23" s="37"/>
      <c r="C23" s="37"/>
      <c r="D23" s="37"/>
      <c r="E23" s="37"/>
      <c r="F23" s="37"/>
      <c r="G23" s="14" t="s">
        <v>37</v>
      </c>
      <c r="H23" s="14" t="s">
        <v>61</v>
      </c>
      <c r="I23" s="15">
        <f>8854.5</f>
        <v>8854.5</v>
      </c>
      <c r="J23" s="59">
        <f>8854.5</f>
        <v>8854.5</v>
      </c>
      <c r="K23" s="59"/>
      <c r="L23" s="59"/>
      <c r="M23" s="59"/>
      <c r="N23" s="60">
        <f>0</f>
        <v>0</v>
      </c>
      <c r="O23" s="60"/>
    </row>
    <row r="24" spans="1:15" s="1" customFormat="1" ht="24" customHeight="1">
      <c r="A24" s="37" t="s">
        <v>62</v>
      </c>
      <c r="B24" s="37"/>
      <c r="C24" s="37"/>
      <c r="D24" s="37"/>
      <c r="E24" s="37"/>
      <c r="F24" s="37"/>
      <c r="G24" s="14" t="s">
        <v>37</v>
      </c>
      <c r="H24" s="14" t="s">
        <v>63</v>
      </c>
      <c r="I24" s="15">
        <f>400000</f>
        <v>400000</v>
      </c>
      <c r="J24" s="59">
        <f>57587.49</f>
        <v>57587.49</v>
      </c>
      <c r="K24" s="59"/>
      <c r="L24" s="59"/>
      <c r="M24" s="59"/>
      <c r="N24" s="60">
        <f>342412.51</f>
        <v>342412.51</v>
      </c>
      <c r="O24" s="60"/>
    </row>
    <row r="25" spans="1:15" s="1" customFormat="1" ht="13.5" customHeight="1">
      <c r="A25" s="37" t="s">
        <v>64</v>
      </c>
      <c r="B25" s="37"/>
      <c r="C25" s="37"/>
      <c r="D25" s="37"/>
      <c r="E25" s="37"/>
      <c r="F25" s="37"/>
      <c r="G25" s="14" t="s">
        <v>37</v>
      </c>
      <c r="H25" s="14" t="s">
        <v>65</v>
      </c>
      <c r="I25" s="15">
        <f>18000</f>
        <v>18000</v>
      </c>
      <c r="J25" s="59">
        <f>12929.81</f>
        <v>12929.81</v>
      </c>
      <c r="K25" s="59"/>
      <c r="L25" s="59"/>
      <c r="M25" s="59"/>
      <c r="N25" s="60">
        <f>5070.19</f>
        <v>5070.19</v>
      </c>
      <c r="O25" s="60"/>
    </row>
    <row r="26" spans="1:15" s="1" customFormat="1" ht="13.5" customHeight="1">
      <c r="A26" s="37" t="s">
        <v>66</v>
      </c>
      <c r="B26" s="37"/>
      <c r="C26" s="37"/>
      <c r="D26" s="37"/>
      <c r="E26" s="37"/>
      <c r="F26" s="37"/>
      <c r="G26" s="14" t="s">
        <v>37</v>
      </c>
      <c r="H26" s="14" t="s">
        <v>67</v>
      </c>
      <c r="I26" s="15">
        <f>53000</f>
        <v>53000</v>
      </c>
      <c r="J26" s="59">
        <f>10277.94</f>
        <v>10277.94</v>
      </c>
      <c r="K26" s="59"/>
      <c r="L26" s="59"/>
      <c r="M26" s="59"/>
      <c r="N26" s="60">
        <f>42722.06</f>
        <v>42722.06</v>
      </c>
      <c r="O26" s="60"/>
    </row>
    <row r="27" spans="1:15" s="1" customFormat="1" ht="24" customHeight="1">
      <c r="A27" s="37" t="s">
        <v>68</v>
      </c>
      <c r="B27" s="37"/>
      <c r="C27" s="37"/>
      <c r="D27" s="37"/>
      <c r="E27" s="37"/>
      <c r="F27" s="37"/>
      <c r="G27" s="14" t="s">
        <v>37</v>
      </c>
      <c r="H27" s="14" t="s">
        <v>69</v>
      </c>
      <c r="I27" s="15">
        <f>650000</f>
        <v>650000</v>
      </c>
      <c r="J27" s="59">
        <f>648682.68</f>
        <v>648682.68</v>
      </c>
      <c r="K27" s="59"/>
      <c r="L27" s="59"/>
      <c r="M27" s="59"/>
      <c r="N27" s="60">
        <f>1317.32</f>
        <v>1317.32</v>
      </c>
      <c r="O27" s="60"/>
    </row>
    <row r="28" spans="1:15" s="1" customFormat="1" ht="24" customHeight="1">
      <c r="A28" s="37" t="s">
        <v>70</v>
      </c>
      <c r="B28" s="37"/>
      <c r="C28" s="37"/>
      <c r="D28" s="37"/>
      <c r="E28" s="37"/>
      <c r="F28" s="37"/>
      <c r="G28" s="14" t="s">
        <v>37</v>
      </c>
      <c r="H28" s="14" t="s">
        <v>71</v>
      </c>
      <c r="I28" s="15">
        <f>100000</f>
        <v>100000</v>
      </c>
      <c r="J28" s="59">
        <f>24388</f>
        <v>24388</v>
      </c>
      <c r="K28" s="59"/>
      <c r="L28" s="59"/>
      <c r="M28" s="59"/>
      <c r="N28" s="60">
        <f>75612</f>
        <v>75612</v>
      </c>
      <c r="O28" s="60"/>
    </row>
    <row r="29" spans="1:15" s="1" customFormat="1" ht="45" customHeight="1">
      <c r="A29" s="37" t="s">
        <v>72</v>
      </c>
      <c r="B29" s="37"/>
      <c r="C29" s="37"/>
      <c r="D29" s="37"/>
      <c r="E29" s="37"/>
      <c r="F29" s="37"/>
      <c r="G29" s="14" t="s">
        <v>37</v>
      </c>
      <c r="H29" s="14" t="s">
        <v>73</v>
      </c>
      <c r="I29" s="15">
        <f>20857.28</f>
        <v>20857.28</v>
      </c>
      <c r="J29" s="59">
        <f>16433.78</f>
        <v>16433.78</v>
      </c>
      <c r="K29" s="59"/>
      <c r="L29" s="59"/>
      <c r="M29" s="59"/>
      <c r="N29" s="60">
        <f>4423.5</f>
        <v>4423.5</v>
      </c>
      <c r="O29" s="60"/>
    </row>
    <row r="30" spans="1:15" s="1" customFormat="1" ht="33.75" customHeight="1">
      <c r="A30" s="37" t="s">
        <v>74</v>
      </c>
      <c r="B30" s="37"/>
      <c r="C30" s="37"/>
      <c r="D30" s="37"/>
      <c r="E30" s="37"/>
      <c r="F30" s="37"/>
      <c r="G30" s="14" t="s">
        <v>37</v>
      </c>
      <c r="H30" s="14" t="s">
        <v>75</v>
      </c>
      <c r="I30" s="15">
        <f>102000</f>
        <v>102000</v>
      </c>
      <c r="J30" s="59">
        <f>45000</f>
        <v>45000</v>
      </c>
      <c r="K30" s="59"/>
      <c r="L30" s="59"/>
      <c r="M30" s="59"/>
      <c r="N30" s="60">
        <f>57000</f>
        <v>57000</v>
      </c>
      <c r="O30" s="60"/>
    </row>
    <row r="31" spans="1:15" s="1" customFormat="1" ht="24" customHeight="1">
      <c r="A31" s="37" t="s">
        <v>76</v>
      </c>
      <c r="B31" s="37"/>
      <c r="C31" s="37"/>
      <c r="D31" s="37"/>
      <c r="E31" s="37"/>
      <c r="F31" s="37"/>
      <c r="G31" s="14" t="s">
        <v>37</v>
      </c>
      <c r="H31" s="14" t="s">
        <v>77</v>
      </c>
      <c r="I31" s="15">
        <f>1157256</f>
        <v>1157256</v>
      </c>
      <c r="J31" s="59">
        <f>1154851.1</f>
        <v>1154851.1</v>
      </c>
      <c r="K31" s="59"/>
      <c r="L31" s="59"/>
      <c r="M31" s="59"/>
      <c r="N31" s="60">
        <f>2404.9</f>
        <v>2404.9</v>
      </c>
      <c r="O31" s="60"/>
    </row>
    <row r="32" spans="1:15" s="1" customFormat="1" ht="45" customHeight="1">
      <c r="A32" s="37" t="s">
        <v>78</v>
      </c>
      <c r="B32" s="37"/>
      <c r="C32" s="37"/>
      <c r="D32" s="37"/>
      <c r="E32" s="37"/>
      <c r="F32" s="37"/>
      <c r="G32" s="14" t="s">
        <v>37</v>
      </c>
      <c r="H32" s="14" t="s">
        <v>79</v>
      </c>
      <c r="I32" s="15">
        <f>955000</f>
        <v>955000</v>
      </c>
      <c r="J32" s="59">
        <f>608712.43</f>
        <v>608712.43</v>
      </c>
      <c r="K32" s="59"/>
      <c r="L32" s="59"/>
      <c r="M32" s="59"/>
      <c r="N32" s="60">
        <f>346287.57</f>
        <v>346287.57</v>
      </c>
      <c r="O32" s="60"/>
    </row>
    <row r="33" spans="1:15" s="1" customFormat="1" ht="24" customHeight="1">
      <c r="A33" s="37" t="s">
        <v>80</v>
      </c>
      <c r="B33" s="37"/>
      <c r="C33" s="37"/>
      <c r="D33" s="37"/>
      <c r="E33" s="37"/>
      <c r="F33" s="37"/>
      <c r="G33" s="14" t="s">
        <v>37</v>
      </c>
      <c r="H33" s="14" t="s">
        <v>81</v>
      </c>
      <c r="I33" s="15">
        <f>300000</f>
        <v>300000</v>
      </c>
      <c r="J33" s="59">
        <f>171910</f>
        <v>171910</v>
      </c>
      <c r="K33" s="59"/>
      <c r="L33" s="59"/>
      <c r="M33" s="59"/>
      <c r="N33" s="60">
        <f>128090</f>
        <v>128090</v>
      </c>
      <c r="O33" s="60"/>
    </row>
    <row r="34" spans="1:15" s="1" customFormat="1" ht="13.5" customHeight="1">
      <c r="A34" s="37" t="s">
        <v>82</v>
      </c>
      <c r="B34" s="37"/>
      <c r="C34" s="37"/>
      <c r="D34" s="37"/>
      <c r="E34" s="37"/>
      <c r="F34" s="37"/>
      <c r="G34" s="14" t="s">
        <v>37</v>
      </c>
      <c r="H34" s="14" t="s">
        <v>83</v>
      </c>
      <c r="I34" s="15">
        <f>1258575.4</f>
        <v>1258575.4</v>
      </c>
      <c r="J34" s="59">
        <f>1227126.62</f>
        <v>1227126.62</v>
      </c>
      <c r="K34" s="59"/>
      <c r="L34" s="59"/>
      <c r="M34" s="59"/>
      <c r="N34" s="60">
        <f>31448.78</f>
        <v>31448.78</v>
      </c>
      <c r="O34" s="60"/>
    </row>
    <row r="35" spans="1:15" s="1" customFormat="1" ht="13.5" customHeight="1">
      <c r="A35" s="37" t="s">
        <v>84</v>
      </c>
      <c r="B35" s="37"/>
      <c r="C35" s="37"/>
      <c r="D35" s="37"/>
      <c r="E35" s="37"/>
      <c r="F35" s="37"/>
      <c r="G35" s="14" t="s">
        <v>37</v>
      </c>
      <c r="H35" s="14" t="s">
        <v>85</v>
      </c>
      <c r="I35" s="15">
        <f>44850</f>
        <v>44850</v>
      </c>
      <c r="J35" s="59">
        <f>44850</f>
        <v>44850</v>
      </c>
      <c r="K35" s="59"/>
      <c r="L35" s="59"/>
      <c r="M35" s="59"/>
      <c r="N35" s="60">
        <f>0</f>
        <v>0</v>
      </c>
      <c r="O35" s="60"/>
    </row>
    <row r="36" spans="1:15" s="1" customFormat="1" ht="24" customHeight="1">
      <c r="A36" s="37" t="s">
        <v>86</v>
      </c>
      <c r="B36" s="37"/>
      <c r="C36" s="37"/>
      <c r="D36" s="37"/>
      <c r="E36" s="37"/>
      <c r="F36" s="37"/>
      <c r="G36" s="14" t="s">
        <v>37</v>
      </c>
      <c r="H36" s="14" t="s">
        <v>87</v>
      </c>
      <c r="I36" s="15">
        <f>28165400</f>
        <v>28165400</v>
      </c>
      <c r="J36" s="59">
        <f>19370722</f>
        <v>19370722</v>
      </c>
      <c r="K36" s="59"/>
      <c r="L36" s="59"/>
      <c r="M36" s="59"/>
      <c r="N36" s="60">
        <f>8794678</f>
        <v>8794678</v>
      </c>
      <c r="O36" s="60"/>
    </row>
    <row r="37" spans="1:15" s="1" customFormat="1" ht="24" customHeight="1">
      <c r="A37" s="37" t="s">
        <v>88</v>
      </c>
      <c r="B37" s="37"/>
      <c r="C37" s="37"/>
      <c r="D37" s="37"/>
      <c r="E37" s="37"/>
      <c r="F37" s="37"/>
      <c r="G37" s="14" t="s">
        <v>37</v>
      </c>
      <c r="H37" s="14" t="s">
        <v>89</v>
      </c>
      <c r="I37" s="15">
        <f>27257.14</f>
        <v>27257.14</v>
      </c>
      <c r="J37" s="38" t="s">
        <v>43</v>
      </c>
      <c r="K37" s="38"/>
      <c r="L37" s="38"/>
      <c r="M37" s="38"/>
      <c r="N37" s="60">
        <f>27257.14</f>
        <v>27257.14</v>
      </c>
      <c r="O37" s="60"/>
    </row>
    <row r="38" spans="1:15" s="1" customFormat="1" ht="24" customHeight="1">
      <c r="A38" s="37" t="s">
        <v>90</v>
      </c>
      <c r="B38" s="37"/>
      <c r="C38" s="37"/>
      <c r="D38" s="37"/>
      <c r="E38" s="37"/>
      <c r="F38" s="37"/>
      <c r="G38" s="14" t="s">
        <v>37</v>
      </c>
      <c r="H38" s="14" t="s">
        <v>91</v>
      </c>
      <c r="I38" s="15">
        <f>466400</f>
        <v>466400</v>
      </c>
      <c r="J38" s="59">
        <f>349800</f>
        <v>349800</v>
      </c>
      <c r="K38" s="59"/>
      <c r="L38" s="59"/>
      <c r="M38" s="59"/>
      <c r="N38" s="60">
        <f>116600</f>
        <v>116600</v>
      </c>
      <c r="O38" s="60"/>
    </row>
    <row r="39" spans="1:15" s="1" customFormat="1" ht="24" customHeight="1">
      <c r="A39" s="37" t="s">
        <v>92</v>
      </c>
      <c r="B39" s="37"/>
      <c r="C39" s="37"/>
      <c r="D39" s="37"/>
      <c r="E39" s="37"/>
      <c r="F39" s="37"/>
      <c r="G39" s="14" t="s">
        <v>37</v>
      </c>
      <c r="H39" s="14" t="s">
        <v>93</v>
      </c>
      <c r="I39" s="15">
        <f>117425.99</f>
        <v>117425.99</v>
      </c>
      <c r="J39" s="59">
        <f>83825.19</f>
        <v>83825.19</v>
      </c>
      <c r="K39" s="59"/>
      <c r="L39" s="59"/>
      <c r="M39" s="59"/>
      <c r="N39" s="60">
        <f>33600.8</f>
        <v>33600.8</v>
      </c>
      <c r="O39" s="60"/>
    </row>
    <row r="40" spans="1:15" s="1" customFormat="1" ht="24" customHeight="1">
      <c r="A40" s="37" t="s">
        <v>94</v>
      </c>
      <c r="B40" s="37"/>
      <c r="C40" s="37"/>
      <c r="D40" s="37"/>
      <c r="E40" s="37"/>
      <c r="F40" s="37"/>
      <c r="G40" s="14" t="s">
        <v>37</v>
      </c>
      <c r="H40" s="14" t="s">
        <v>95</v>
      </c>
      <c r="I40" s="15">
        <f>30461303.26</f>
        <v>30461303.26</v>
      </c>
      <c r="J40" s="59">
        <f>17049450.9</f>
        <v>17049450.9</v>
      </c>
      <c r="K40" s="59"/>
      <c r="L40" s="59"/>
      <c r="M40" s="59"/>
      <c r="N40" s="60">
        <f>13411852.36</f>
        <v>13411852.36</v>
      </c>
      <c r="O40" s="60"/>
    </row>
    <row r="41" spans="1:15" s="1" customFormat="1" ht="13.5" customHeight="1">
      <c r="A41" s="61" t="s">
        <v>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1" customFormat="1" ht="13.5" customHeight="1">
      <c r="A42" s="47" t="s">
        <v>96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1" customFormat="1" ht="34.5" customHeight="1">
      <c r="A43" s="48" t="s">
        <v>24</v>
      </c>
      <c r="B43" s="48"/>
      <c r="C43" s="48"/>
      <c r="D43" s="48"/>
      <c r="E43" s="48"/>
      <c r="F43" s="48"/>
      <c r="G43" s="8" t="s">
        <v>25</v>
      </c>
      <c r="H43" s="8" t="s">
        <v>97</v>
      </c>
      <c r="I43" s="9" t="s">
        <v>27</v>
      </c>
      <c r="J43" s="49" t="s">
        <v>28</v>
      </c>
      <c r="K43" s="49"/>
      <c r="L43" s="49"/>
      <c r="M43" s="49"/>
      <c r="N43" s="50" t="s">
        <v>29</v>
      </c>
      <c r="O43" s="50"/>
    </row>
    <row r="44" spans="1:15" s="1" customFormat="1" ht="13.5" customHeight="1">
      <c r="A44" s="51" t="s">
        <v>30</v>
      </c>
      <c r="B44" s="51"/>
      <c r="C44" s="51"/>
      <c r="D44" s="51"/>
      <c r="E44" s="51"/>
      <c r="F44" s="51"/>
      <c r="G44" s="10" t="s">
        <v>31</v>
      </c>
      <c r="H44" s="10" t="s">
        <v>32</v>
      </c>
      <c r="I44" s="11" t="s">
        <v>33</v>
      </c>
      <c r="J44" s="52" t="s">
        <v>34</v>
      </c>
      <c r="K44" s="52"/>
      <c r="L44" s="52"/>
      <c r="M44" s="52"/>
      <c r="N44" s="53" t="s">
        <v>35</v>
      </c>
      <c r="O44" s="53"/>
    </row>
    <row r="45" spans="1:15" s="1" customFormat="1" ht="13.5" customHeight="1">
      <c r="A45" s="42" t="s">
        <v>98</v>
      </c>
      <c r="B45" s="42"/>
      <c r="C45" s="42"/>
      <c r="D45" s="42"/>
      <c r="E45" s="42"/>
      <c r="F45" s="42"/>
      <c r="G45" s="12" t="s">
        <v>99</v>
      </c>
      <c r="H45" s="12" t="s">
        <v>38</v>
      </c>
      <c r="I45" s="13">
        <f>82845408.42</f>
        <v>82845408.42</v>
      </c>
      <c r="J45" s="43">
        <f>48951025.41</f>
        <v>48951025.41</v>
      </c>
      <c r="K45" s="43"/>
      <c r="L45" s="43"/>
      <c r="M45" s="43"/>
      <c r="N45" s="58">
        <f>33894383.01</f>
        <v>33894383.01</v>
      </c>
      <c r="O45" s="58"/>
    </row>
    <row r="46" spans="1:15" s="1" customFormat="1" ht="13.5" customHeight="1">
      <c r="A46" s="31" t="s">
        <v>100</v>
      </c>
      <c r="B46" s="31"/>
      <c r="C46" s="31"/>
      <c r="D46" s="31"/>
      <c r="E46" s="31"/>
      <c r="F46" s="31"/>
      <c r="G46" s="16" t="s">
        <v>99</v>
      </c>
      <c r="H46" s="16" t="s">
        <v>101</v>
      </c>
      <c r="I46" s="17">
        <f>1542300</f>
        <v>1542300</v>
      </c>
      <c r="J46" s="32">
        <f>1074170.86</f>
        <v>1074170.86</v>
      </c>
      <c r="K46" s="32"/>
      <c r="L46" s="32"/>
      <c r="M46" s="32"/>
      <c r="N46" s="54">
        <f>468129.14</f>
        <v>468129.14</v>
      </c>
      <c r="O46" s="54"/>
    </row>
    <row r="47" spans="1:15" s="1" customFormat="1" ht="33.75" customHeight="1">
      <c r="A47" s="31" t="s">
        <v>102</v>
      </c>
      <c r="B47" s="31"/>
      <c r="C47" s="31"/>
      <c r="D47" s="31"/>
      <c r="E47" s="31"/>
      <c r="F47" s="31"/>
      <c r="G47" s="16" t="s">
        <v>99</v>
      </c>
      <c r="H47" s="16" t="s">
        <v>103</v>
      </c>
      <c r="I47" s="17">
        <f>465720</f>
        <v>465720</v>
      </c>
      <c r="J47" s="32">
        <f>276676.81</f>
        <v>276676.81</v>
      </c>
      <c r="K47" s="32"/>
      <c r="L47" s="32"/>
      <c r="M47" s="32"/>
      <c r="N47" s="54">
        <f>189043.19</f>
        <v>189043.19</v>
      </c>
      <c r="O47" s="54"/>
    </row>
    <row r="48" spans="1:15" s="1" customFormat="1" ht="13.5" customHeight="1">
      <c r="A48" s="31" t="s">
        <v>100</v>
      </c>
      <c r="B48" s="31"/>
      <c r="C48" s="31"/>
      <c r="D48" s="31"/>
      <c r="E48" s="31"/>
      <c r="F48" s="31"/>
      <c r="G48" s="16" t="s">
        <v>99</v>
      </c>
      <c r="H48" s="16" t="s">
        <v>104</v>
      </c>
      <c r="I48" s="17">
        <f>9253000</f>
        <v>9253000</v>
      </c>
      <c r="J48" s="32">
        <f>5853841.06</f>
        <v>5853841.06</v>
      </c>
      <c r="K48" s="32"/>
      <c r="L48" s="32"/>
      <c r="M48" s="32"/>
      <c r="N48" s="54">
        <f>3399158.94</f>
        <v>3399158.94</v>
      </c>
      <c r="O48" s="54"/>
    </row>
    <row r="49" spans="1:15" s="1" customFormat="1" ht="24" customHeight="1">
      <c r="A49" s="31" t="s">
        <v>105</v>
      </c>
      <c r="B49" s="31"/>
      <c r="C49" s="31"/>
      <c r="D49" s="31"/>
      <c r="E49" s="31"/>
      <c r="F49" s="31"/>
      <c r="G49" s="16" t="s">
        <v>99</v>
      </c>
      <c r="H49" s="16" t="s">
        <v>106</v>
      </c>
      <c r="I49" s="17">
        <f>100000</f>
        <v>100000</v>
      </c>
      <c r="J49" s="32">
        <f>31612</f>
        <v>31612</v>
      </c>
      <c r="K49" s="32"/>
      <c r="L49" s="32"/>
      <c r="M49" s="32"/>
      <c r="N49" s="54">
        <f>68388</f>
        <v>68388</v>
      </c>
      <c r="O49" s="54"/>
    </row>
    <row r="50" spans="1:15" s="1" customFormat="1" ht="33.75" customHeight="1">
      <c r="A50" s="31" t="s">
        <v>102</v>
      </c>
      <c r="B50" s="31"/>
      <c r="C50" s="31"/>
      <c r="D50" s="31"/>
      <c r="E50" s="31"/>
      <c r="F50" s="31"/>
      <c r="G50" s="16" t="s">
        <v>99</v>
      </c>
      <c r="H50" s="16" t="s">
        <v>107</v>
      </c>
      <c r="I50" s="17">
        <f>2794260</f>
        <v>2794260</v>
      </c>
      <c r="J50" s="32">
        <f>1636684.54</f>
        <v>1636684.54</v>
      </c>
      <c r="K50" s="32"/>
      <c r="L50" s="32"/>
      <c r="M50" s="32"/>
      <c r="N50" s="54">
        <f>1157575.46</f>
        <v>1157575.46</v>
      </c>
      <c r="O50" s="54"/>
    </row>
    <row r="51" spans="1:15" s="1" customFormat="1" ht="13.5" customHeight="1">
      <c r="A51" s="31" t="s">
        <v>108</v>
      </c>
      <c r="B51" s="31"/>
      <c r="C51" s="31"/>
      <c r="D51" s="31"/>
      <c r="E51" s="31"/>
      <c r="F51" s="31"/>
      <c r="G51" s="16" t="s">
        <v>99</v>
      </c>
      <c r="H51" s="16" t="s">
        <v>109</v>
      </c>
      <c r="I51" s="17">
        <f>166452</f>
        <v>166452</v>
      </c>
      <c r="J51" s="32">
        <f>124839</f>
        <v>124839</v>
      </c>
      <c r="K51" s="32"/>
      <c r="L51" s="32"/>
      <c r="M51" s="32"/>
      <c r="N51" s="54">
        <f>41613</f>
        <v>41613</v>
      </c>
      <c r="O51" s="54"/>
    </row>
    <row r="52" spans="1:15" s="1" customFormat="1" ht="13.5" customHeight="1">
      <c r="A52" s="31" t="s">
        <v>110</v>
      </c>
      <c r="B52" s="31"/>
      <c r="C52" s="31"/>
      <c r="D52" s="31"/>
      <c r="E52" s="31"/>
      <c r="F52" s="31"/>
      <c r="G52" s="16" t="s">
        <v>99</v>
      </c>
      <c r="H52" s="16" t="s">
        <v>111</v>
      </c>
      <c r="I52" s="17">
        <f>287256</f>
        <v>287256</v>
      </c>
      <c r="J52" s="32">
        <f>287256</f>
        <v>287256</v>
      </c>
      <c r="K52" s="32"/>
      <c r="L52" s="32"/>
      <c r="M52" s="32"/>
      <c r="N52" s="54">
        <f>0</f>
        <v>0</v>
      </c>
      <c r="O52" s="54"/>
    </row>
    <row r="53" spans="1:15" s="1" customFormat="1" ht="13.5" customHeight="1">
      <c r="A53" s="31" t="s">
        <v>112</v>
      </c>
      <c r="B53" s="31"/>
      <c r="C53" s="31"/>
      <c r="D53" s="31"/>
      <c r="E53" s="31"/>
      <c r="F53" s="31"/>
      <c r="G53" s="16" t="s">
        <v>99</v>
      </c>
      <c r="H53" s="16" t="s">
        <v>113</v>
      </c>
      <c r="I53" s="17">
        <f>150000</f>
        <v>150000</v>
      </c>
      <c r="J53" s="34" t="s">
        <v>43</v>
      </c>
      <c r="K53" s="34"/>
      <c r="L53" s="34"/>
      <c r="M53" s="34"/>
      <c r="N53" s="54">
        <f>150000</f>
        <v>150000</v>
      </c>
      <c r="O53" s="54"/>
    </row>
    <row r="54" spans="1:15" s="1" customFormat="1" ht="13.5" customHeight="1">
      <c r="A54" s="31" t="s">
        <v>114</v>
      </c>
      <c r="B54" s="31"/>
      <c r="C54" s="31"/>
      <c r="D54" s="31"/>
      <c r="E54" s="31"/>
      <c r="F54" s="31"/>
      <c r="G54" s="16" t="s">
        <v>99</v>
      </c>
      <c r="H54" s="16" t="s">
        <v>115</v>
      </c>
      <c r="I54" s="17">
        <f>30000</f>
        <v>30000</v>
      </c>
      <c r="J54" s="34" t="s">
        <v>43</v>
      </c>
      <c r="K54" s="34"/>
      <c r="L54" s="34"/>
      <c r="M54" s="34"/>
      <c r="N54" s="54">
        <f>30000</f>
        <v>30000</v>
      </c>
      <c r="O54" s="54"/>
    </row>
    <row r="55" spans="1:15" s="1" customFormat="1" ht="24" customHeight="1">
      <c r="A55" s="31" t="s">
        <v>105</v>
      </c>
      <c r="B55" s="31"/>
      <c r="C55" s="31"/>
      <c r="D55" s="31"/>
      <c r="E55" s="31"/>
      <c r="F55" s="31"/>
      <c r="G55" s="16" t="s">
        <v>99</v>
      </c>
      <c r="H55" s="16" t="s">
        <v>116</v>
      </c>
      <c r="I55" s="17">
        <f>300000</f>
        <v>300000</v>
      </c>
      <c r="J55" s="32">
        <f>126566.2</f>
        <v>126566.2</v>
      </c>
      <c r="K55" s="32"/>
      <c r="L55" s="32"/>
      <c r="M55" s="32"/>
      <c r="N55" s="54">
        <f>173433.8</f>
        <v>173433.8</v>
      </c>
      <c r="O55" s="54"/>
    </row>
    <row r="56" spans="1:15" s="1" customFormat="1" ht="13.5" customHeight="1">
      <c r="A56" s="31" t="s">
        <v>114</v>
      </c>
      <c r="B56" s="31"/>
      <c r="C56" s="31"/>
      <c r="D56" s="31"/>
      <c r="E56" s="31"/>
      <c r="F56" s="31"/>
      <c r="G56" s="16" t="s">
        <v>99</v>
      </c>
      <c r="H56" s="16" t="s">
        <v>117</v>
      </c>
      <c r="I56" s="17">
        <f>189478.57</f>
        <v>189478.57</v>
      </c>
      <c r="J56" s="32">
        <f>75198</f>
        <v>75198</v>
      </c>
      <c r="K56" s="32"/>
      <c r="L56" s="32"/>
      <c r="M56" s="32"/>
      <c r="N56" s="54">
        <f>114280.57</f>
        <v>114280.57</v>
      </c>
      <c r="O56" s="54"/>
    </row>
    <row r="57" spans="1:15" s="1" customFormat="1" ht="24" customHeight="1">
      <c r="A57" s="31" t="s">
        <v>118</v>
      </c>
      <c r="B57" s="31"/>
      <c r="C57" s="31"/>
      <c r="D57" s="31"/>
      <c r="E57" s="31"/>
      <c r="F57" s="31"/>
      <c r="G57" s="16" t="s">
        <v>99</v>
      </c>
      <c r="H57" s="16" t="s">
        <v>119</v>
      </c>
      <c r="I57" s="17">
        <f>12551</f>
        <v>12551</v>
      </c>
      <c r="J57" s="32">
        <f>12551</f>
        <v>12551</v>
      </c>
      <c r="K57" s="32"/>
      <c r="L57" s="32"/>
      <c r="M57" s="32"/>
      <c r="N57" s="54">
        <f>0</f>
        <v>0</v>
      </c>
      <c r="O57" s="54"/>
    </row>
    <row r="58" spans="1:15" s="1" customFormat="1" ht="13.5" customHeight="1">
      <c r="A58" s="31" t="s">
        <v>120</v>
      </c>
      <c r="B58" s="31"/>
      <c r="C58" s="31"/>
      <c r="D58" s="31"/>
      <c r="E58" s="31"/>
      <c r="F58" s="31"/>
      <c r="G58" s="16" t="s">
        <v>99</v>
      </c>
      <c r="H58" s="16" t="s">
        <v>121</v>
      </c>
      <c r="I58" s="17">
        <f>139930</f>
        <v>139930</v>
      </c>
      <c r="J58" s="32">
        <f>104162</f>
        <v>104162</v>
      </c>
      <c r="K58" s="32"/>
      <c r="L58" s="32"/>
      <c r="M58" s="32"/>
      <c r="N58" s="54">
        <f>35768</f>
        <v>35768</v>
      </c>
      <c r="O58" s="54"/>
    </row>
    <row r="59" spans="1:15" s="1" customFormat="1" ht="13.5" customHeight="1">
      <c r="A59" s="31" t="s">
        <v>122</v>
      </c>
      <c r="B59" s="31"/>
      <c r="C59" s="31"/>
      <c r="D59" s="31"/>
      <c r="E59" s="31"/>
      <c r="F59" s="31"/>
      <c r="G59" s="16" t="s">
        <v>99</v>
      </c>
      <c r="H59" s="16" t="s">
        <v>123</v>
      </c>
      <c r="I59" s="17">
        <f>100000</f>
        <v>100000</v>
      </c>
      <c r="J59" s="32">
        <f>100000</f>
        <v>100000</v>
      </c>
      <c r="K59" s="32"/>
      <c r="L59" s="32"/>
      <c r="M59" s="32"/>
      <c r="N59" s="54">
        <f>0</f>
        <v>0</v>
      </c>
      <c r="O59" s="54"/>
    </row>
    <row r="60" spans="1:15" s="1" customFormat="1" ht="13.5" customHeight="1">
      <c r="A60" s="31" t="s">
        <v>114</v>
      </c>
      <c r="B60" s="31"/>
      <c r="C60" s="31"/>
      <c r="D60" s="31"/>
      <c r="E60" s="31"/>
      <c r="F60" s="31"/>
      <c r="G60" s="16" t="s">
        <v>99</v>
      </c>
      <c r="H60" s="16" t="s">
        <v>124</v>
      </c>
      <c r="I60" s="17">
        <f>96000</f>
        <v>96000</v>
      </c>
      <c r="J60" s="34" t="s">
        <v>43</v>
      </c>
      <c r="K60" s="34"/>
      <c r="L60" s="34"/>
      <c r="M60" s="34"/>
      <c r="N60" s="54">
        <f>96000</f>
        <v>96000</v>
      </c>
      <c r="O60" s="54"/>
    </row>
    <row r="61" spans="1:15" s="1" customFormat="1" ht="13.5" customHeight="1">
      <c r="A61" s="31" t="s">
        <v>125</v>
      </c>
      <c r="B61" s="31"/>
      <c r="C61" s="31"/>
      <c r="D61" s="31"/>
      <c r="E61" s="31"/>
      <c r="F61" s="31"/>
      <c r="G61" s="16" t="s">
        <v>99</v>
      </c>
      <c r="H61" s="16" t="s">
        <v>126</v>
      </c>
      <c r="I61" s="17">
        <f>5130000</f>
        <v>5130000</v>
      </c>
      <c r="J61" s="32">
        <f>3172494.3</f>
        <v>3172494.3</v>
      </c>
      <c r="K61" s="32"/>
      <c r="L61" s="32"/>
      <c r="M61" s="32"/>
      <c r="N61" s="54">
        <f>1957505.7</f>
        <v>1957505.7</v>
      </c>
      <c r="O61" s="54"/>
    </row>
    <row r="62" spans="1:15" s="1" customFormat="1" ht="13.5" customHeight="1">
      <c r="A62" s="31" t="s">
        <v>127</v>
      </c>
      <c r="B62" s="31"/>
      <c r="C62" s="31"/>
      <c r="D62" s="31"/>
      <c r="E62" s="31"/>
      <c r="F62" s="31"/>
      <c r="G62" s="16" t="s">
        <v>99</v>
      </c>
      <c r="H62" s="16" t="s">
        <v>128</v>
      </c>
      <c r="I62" s="17">
        <f>137100</f>
        <v>137100</v>
      </c>
      <c r="J62" s="32">
        <f>24172.38</f>
        <v>24172.38</v>
      </c>
      <c r="K62" s="32"/>
      <c r="L62" s="32"/>
      <c r="M62" s="32"/>
      <c r="N62" s="54">
        <f>112927.62</f>
        <v>112927.62</v>
      </c>
      <c r="O62" s="54"/>
    </row>
    <row r="63" spans="1:15" s="1" customFormat="1" ht="24" customHeight="1">
      <c r="A63" s="31" t="s">
        <v>129</v>
      </c>
      <c r="B63" s="31"/>
      <c r="C63" s="31"/>
      <c r="D63" s="31"/>
      <c r="E63" s="31"/>
      <c r="F63" s="31"/>
      <c r="G63" s="16" t="s">
        <v>99</v>
      </c>
      <c r="H63" s="16" t="s">
        <v>130</v>
      </c>
      <c r="I63" s="17">
        <f>1549212.86</f>
        <v>1549212.86</v>
      </c>
      <c r="J63" s="32">
        <f>799055.35</f>
        <v>799055.35</v>
      </c>
      <c r="K63" s="32"/>
      <c r="L63" s="32"/>
      <c r="M63" s="32"/>
      <c r="N63" s="54">
        <f>750157.51</f>
        <v>750157.51</v>
      </c>
      <c r="O63" s="54"/>
    </row>
    <row r="64" spans="1:15" s="1" customFormat="1" ht="24" customHeight="1">
      <c r="A64" s="31" t="s">
        <v>131</v>
      </c>
      <c r="B64" s="31"/>
      <c r="C64" s="31"/>
      <c r="D64" s="31"/>
      <c r="E64" s="31"/>
      <c r="F64" s="31"/>
      <c r="G64" s="16" t="s">
        <v>99</v>
      </c>
      <c r="H64" s="16" t="s">
        <v>132</v>
      </c>
      <c r="I64" s="17">
        <f>21160.27</f>
        <v>21160.27</v>
      </c>
      <c r="J64" s="32">
        <f>13838.22</f>
        <v>13838.22</v>
      </c>
      <c r="K64" s="32"/>
      <c r="L64" s="32"/>
      <c r="M64" s="32"/>
      <c r="N64" s="54">
        <f>7322.05</f>
        <v>7322.05</v>
      </c>
      <c r="O64" s="54"/>
    </row>
    <row r="65" spans="1:15" s="1" customFormat="1" ht="13.5" customHeight="1">
      <c r="A65" s="31" t="s">
        <v>114</v>
      </c>
      <c r="B65" s="31"/>
      <c r="C65" s="31"/>
      <c r="D65" s="31"/>
      <c r="E65" s="31"/>
      <c r="F65" s="31"/>
      <c r="G65" s="16" t="s">
        <v>99</v>
      </c>
      <c r="H65" s="16" t="s">
        <v>133</v>
      </c>
      <c r="I65" s="17">
        <f>749000</f>
        <v>749000</v>
      </c>
      <c r="J65" s="32">
        <f>421916.8</f>
        <v>421916.8</v>
      </c>
      <c r="K65" s="32"/>
      <c r="L65" s="32"/>
      <c r="M65" s="32"/>
      <c r="N65" s="54">
        <f>327083.2</f>
        <v>327083.2</v>
      </c>
      <c r="O65" s="54"/>
    </row>
    <row r="66" spans="1:15" s="1" customFormat="1" ht="13.5" customHeight="1">
      <c r="A66" s="31" t="s">
        <v>120</v>
      </c>
      <c r="B66" s="31"/>
      <c r="C66" s="31"/>
      <c r="D66" s="31"/>
      <c r="E66" s="31"/>
      <c r="F66" s="31"/>
      <c r="G66" s="16" t="s">
        <v>99</v>
      </c>
      <c r="H66" s="16" t="s">
        <v>134</v>
      </c>
      <c r="I66" s="17">
        <f>4500</f>
        <v>4500</v>
      </c>
      <c r="J66" s="32">
        <f>3951</f>
        <v>3951</v>
      </c>
      <c r="K66" s="32"/>
      <c r="L66" s="32"/>
      <c r="M66" s="32"/>
      <c r="N66" s="54">
        <f>549</f>
        <v>549</v>
      </c>
      <c r="O66" s="54"/>
    </row>
    <row r="67" spans="1:15" s="1" customFormat="1" ht="13.5" customHeight="1">
      <c r="A67" s="31" t="s">
        <v>122</v>
      </c>
      <c r="B67" s="31"/>
      <c r="C67" s="31"/>
      <c r="D67" s="31"/>
      <c r="E67" s="31"/>
      <c r="F67" s="31"/>
      <c r="G67" s="16" t="s">
        <v>99</v>
      </c>
      <c r="H67" s="16" t="s">
        <v>135</v>
      </c>
      <c r="I67" s="17">
        <f>27.14</f>
        <v>27.14</v>
      </c>
      <c r="J67" s="32">
        <f>27.14</f>
        <v>27.14</v>
      </c>
      <c r="K67" s="32"/>
      <c r="L67" s="32"/>
      <c r="M67" s="32"/>
      <c r="N67" s="54">
        <f>0</f>
        <v>0</v>
      </c>
      <c r="O67" s="54"/>
    </row>
    <row r="68" spans="1:15" s="1" customFormat="1" ht="13.5" customHeight="1">
      <c r="A68" s="31" t="s">
        <v>114</v>
      </c>
      <c r="B68" s="31"/>
      <c r="C68" s="31"/>
      <c r="D68" s="31"/>
      <c r="E68" s="31"/>
      <c r="F68" s="31"/>
      <c r="G68" s="16" t="s">
        <v>99</v>
      </c>
      <c r="H68" s="16" t="s">
        <v>136</v>
      </c>
      <c r="I68" s="17">
        <f>61000</f>
        <v>61000</v>
      </c>
      <c r="J68" s="32">
        <f>20290.25</f>
        <v>20290.25</v>
      </c>
      <c r="K68" s="32"/>
      <c r="L68" s="32"/>
      <c r="M68" s="32"/>
      <c r="N68" s="54">
        <f>40709.75</f>
        <v>40709.75</v>
      </c>
      <c r="O68" s="54"/>
    </row>
    <row r="69" spans="1:15" s="1" customFormat="1" ht="13.5" customHeight="1">
      <c r="A69" s="31" t="s">
        <v>137</v>
      </c>
      <c r="B69" s="31"/>
      <c r="C69" s="31"/>
      <c r="D69" s="31"/>
      <c r="E69" s="31"/>
      <c r="F69" s="31"/>
      <c r="G69" s="16" t="s">
        <v>99</v>
      </c>
      <c r="H69" s="16" t="s">
        <v>138</v>
      </c>
      <c r="I69" s="17">
        <f>1549362.56</f>
        <v>1549362.56</v>
      </c>
      <c r="J69" s="32">
        <f>1058422.33</f>
        <v>1058422.33</v>
      </c>
      <c r="K69" s="32"/>
      <c r="L69" s="32"/>
      <c r="M69" s="32"/>
      <c r="N69" s="54">
        <f>490940.23</f>
        <v>490940.23</v>
      </c>
      <c r="O69" s="54"/>
    </row>
    <row r="70" spans="1:15" s="1" customFormat="1" ht="13.5" customHeight="1">
      <c r="A70" s="31" t="s">
        <v>100</v>
      </c>
      <c r="B70" s="31"/>
      <c r="C70" s="31"/>
      <c r="D70" s="31"/>
      <c r="E70" s="31"/>
      <c r="F70" s="31"/>
      <c r="G70" s="16" t="s">
        <v>99</v>
      </c>
      <c r="H70" s="16" t="s">
        <v>139</v>
      </c>
      <c r="I70" s="17">
        <f>355000</f>
        <v>355000</v>
      </c>
      <c r="J70" s="32">
        <f>242426.13</f>
        <v>242426.13</v>
      </c>
      <c r="K70" s="32"/>
      <c r="L70" s="32"/>
      <c r="M70" s="32"/>
      <c r="N70" s="54">
        <f>112573.87</f>
        <v>112573.87</v>
      </c>
      <c r="O70" s="54"/>
    </row>
    <row r="71" spans="1:15" s="1" customFormat="1" ht="24" customHeight="1">
      <c r="A71" s="31" t="s">
        <v>105</v>
      </c>
      <c r="B71" s="31"/>
      <c r="C71" s="31"/>
      <c r="D71" s="31"/>
      <c r="E71" s="31"/>
      <c r="F71" s="31"/>
      <c r="G71" s="16" t="s">
        <v>99</v>
      </c>
      <c r="H71" s="16" t="s">
        <v>140</v>
      </c>
      <c r="I71" s="17">
        <f>4200</f>
        <v>4200</v>
      </c>
      <c r="J71" s="34" t="s">
        <v>43</v>
      </c>
      <c r="K71" s="34"/>
      <c r="L71" s="34"/>
      <c r="M71" s="34"/>
      <c r="N71" s="54">
        <f>4200</f>
        <v>4200</v>
      </c>
      <c r="O71" s="54"/>
    </row>
    <row r="72" spans="1:15" s="1" customFormat="1" ht="33.75" customHeight="1">
      <c r="A72" s="31" t="s">
        <v>102</v>
      </c>
      <c r="B72" s="31"/>
      <c r="C72" s="31"/>
      <c r="D72" s="31"/>
      <c r="E72" s="31"/>
      <c r="F72" s="31"/>
      <c r="G72" s="16" t="s">
        <v>99</v>
      </c>
      <c r="H72" s="16" t="s">
        <v>141</v>
      </c>
      <c r="I72" s="17">
        <f>107200</f>
        <v>107200</v>
      </c>
      <c r="J72" s="32">
        <f>58705.82</f>
        <v>58705.82</v>
      </c>
      <c r="K72" s="32"/>
      <c r="L72" s="32"/>
      <c r="M72" s="32"/>
      <c r="N72" s="54">
        <f>48494.18</f>
        <v>48494.18</v>
      </c>
      <c r="O72" s="54"/>
    </row>
    <row r="73" spans="1:15" s="1" customFormat="1" ht="13.5" customHeight="1">
      <c r="A73" s="31" t="s">
        <v>100</v>
      </c>
      <c r="B73" s="31"/>
      <c r="C73" s="31"/>
      <c r="D73" s="31"/>
      <c r="E73" s="31"/>
      <c r="F73" s="31"/>
      <c r="G73" s="16" t="s">
        <v>99</v>
      </c>
      <c r="H73" s="16" t="s">
        <v>142</v>
      </c>
      <c r="I73" s="17">
        <f>69218.9</f>
        <v>69218.9</v>
      </c>
      <c r="J73" s="32">
        <f>52324.9</f>
        <v>52324.9</v>
      </c>
      <c r="K73" s="32"/>
      <c r="L73" s="32"/>
      <c r="M73" s="32"/>
      <c r="N73" s="54">
        <f>16894</f>
        <v>16894</v>
      </c>
      <c r="O73" s="54"/>
    </row>
    <row r="74" spans="1:15" s="1" customFormat="1" ht="33.75" customHeight="1">
      <c r="A74" s="31" t="s">
        <v>102</v>
      </c>
      <c r="B74" s="31"/>
      <c r="C74" s="31"/>
      <c r="D74" s="31"/>
      <c r="E74" s="31"/>
      <c r="F74" s="31"/>
      <c r="G74" s="16" t="s">
        <v>99</v>
      </c>
      <c r="H74" s="16" t="s">
        <v>143</v>
      </c>
      <c r="I74" s="17">
        <f>20904.11</f>
        <v>20904.11</v>
      </c>
      <c r="J74" s="32">
        <f>6587.6</f>
        <v>6587.6</v>
      </c>
      <c r="K74" s="32"/>
      <c r="L74" s="32"/>
      <c r="M74" s="32"/>
      <c r="N74" s="54">
        <f>14316.51</f>
        <v>14316.51</v>
      </c>
      <c r="O74" s="54"/>
    </row>
    <row r="75" spans="1:15" s="1" customFormat="1" ht="13.5" customHeight="1">
      <c r="A75" s="31" t="s">
        <v>100</v>
      </c>
      <c r="B75" s="31"/>
      <c r="C75" s="31"/>
      <c r="D75" s="31"/>
      <c r="E75" s="31"/>
      <c r="F75" s="31"/>
      <c r="G75" s="16" t="s">
        <v>99</v>
      </c>
      <c r="H75" s="16" t="s">
        <v>144</v>
      </c>
      <c r="I75" s="17">
        <f>10474</f>
        <v>10474</v>
      </c>
      <c r="J75" s="34" t="s">
        <v>43</v>
      </c>
      <c r="K75" s="34"/>
      <c r="L75" s="34"/>
      <c r="M75" s="34"/>
      <c r="N75" s="54">
        <f>10474</f>
        <v>10474</v>
      </c>
      <c r="O75" s="54"/>
    </row>
    <row r="76" spans="1:15" s="1" customFormat="1" ht="33.75" customHeight="1">
      <c r="A76" s="31" t="s">
        <v>102</v>
      </c>
      <c r="B76" s="31"/>
      <c r="C76" s="31"/>
      <c r="D76" s="31"/>
      <c r="E76" s="31"/>
      <c r="F76" s="31"/>
      <c r="G76" s="16" t="s">
        <v>99</v>
      </c>
      <c r="H76" s="16" t="s">
        <v>145</v>
      </c>
      <c r="I76" s="17">
        <f>3163</f>
        <v>3163</v>
      </c>
      <c r="J76" s="34" t="s">
        <v>43</v>
      </c>
      <c r="K76" s="34"/>
      <c r="L76" s="34"/>
      <c r="M76" s="34"/>
      <c r="N76" s="54">
        <f>3163</f>
        <v>3163</v>
      </c>
      <c r="O76" s="54"/>
    </row>
    <row r="77" spans="1:15" s="1" customFormat="1" ht="13.5" customHeight="1">
      <c r="A77" s="31" t="s">
        <v>114</v>
      </c>
      <c r="B77" s="31"/>
      <c r="C77" s="31"/>
      <c r="D77" s="31"/>
      <c r="E77" s="31"/>
      <c r="F77" s="31"/>
      <c r="G77" s="16" t="s">
        <v>99</v>
      </c>
      <c r="H77" s="16" t="s">
        <v>146</v>
      </c>
      <c r="I77" s="17">
        <f>13665.98</f>
        <v>13665.98</v>
      </c>
      <c r="J77" s="32">
        <f>13665.98</f>
        <v>13665.98</v>
      </c>
      <c r="K77" s="32"/>
      <c r="L77" s="32"/>
      <c r="M77" s="32"/>
      <c r="N77" s="54">
        <f>0</f>
        <v>0</v>
      </c>
      <c r="O77" s="54"/>
    </row>
    <row r="78" spans="1:15" s="1" customFormat="1" ht="13.5" customHeight="1">
      <c r="A78" s="31" t="s">
        <v>114</v>
      </c>
      <c r="B78" s="31"/>
      <c r="C78" s="31"/>
      <c r="D78" s="31"/>
      <c r="E78" s="31"/>
      <c r="F78" s="31"/>
      <c r="G78" s="16" t="s">
        <v>99</v>
      </c>
      <c r="H78" s="16" t="s">
        <v>147</v>
      </c>
      <c r="I78" s="17">
        <f>250000</f>
        <v>250000</v>
      </c>
      <c r="J78" s="32">
        <f>124670</f>
        <v>124670</v>
      </c>
      <c r="K78" s="32"/>
      <c r="L78" s="32"/>
      <c r="M78" s="32"/>
      <c r="N78" s="54">
        <f>125330</f>
        <v>125330</v>
      </c>
      <c r="O78" s="54"/>
    </row>
    <row r="79" spans="1:15" s="1" customFormat="1" ht="33.75" customHeight="1">
      <c r="A79" s="31" t="s">
        <v>148</v>
      </c>
      <c r="B79" s="31"/>
      <c r="C79" s="31"/>
      <c r="D79" s="31"/>
      <c r="E79" s="31"/>
      <c r="F79" s="31"/>
      <c r="G79" s="16" t="s">
        <v>99</v>
      </c>
      <c r="H79" s="16" t="s">
        <v>149</v>
      </c>
      <c r="I79" s="17">
        <f>22574.43</f>
        <v>22574.43</v>
      </c>
      <c r="J79" s="32">
        <f>8000</f>
        <v>8000</v>
      </c>
      <c r="K79" s="32"/>
      <c r="L79" s="32"/>
      <c r="M79" s="32"/>
      <c r="N79" s="54">
        <f>14574.43</f>
        <v>14574.43</v>
      </c>
      <c r="O79" s="54"/>
    </row>
    <row r="80" spans="1:15" s="1" customFormat="1" ht="13.5" customHeight="1">
      <c r="A80" s="31" t="s">
        <v>114</v>
      </c>
      <c r="B80" s="31"/>
      <c r="C80" s="31"/>
      <c r="D80" s="31"/>
      <c r="E80" s="31"/>
      <c r="F80" s="31"/>
      <c r="G80" s="16" t="s">
        <v>99</v>
      </c>
      <c r="H80" s="16" t="s">
        <v>150</v>
      </c>
      <c r="I80" s="17">
        <f>1085.57</f>
        <v>1085.57</v>
      </c>
      <c r="J80" s="32">
        <f>1085.57</f>
        <v>1085.57</v>
      </c>
      <c r="K80" s="32"/>
      <c r="L80" s="32"/>
      <c r="M80" s="32"/>
      <c r="N80" s="54">
        <f>0</f>
        <v>0</v>
      </c>
      <c r="O80" s="54"/>
    </row>
    <row r="81" spans="1:15" s="1" customFormat="1" ht="33.75" customHeight="1">
      <c r="A81" s="31" t="s">
        <v>148</v>
      </c>
      <c r="B81" s="31"/>
      <c r="C81" s="31"/>
      <c r="D81" s="31"/>
      <c r="E81" s="31"/>
      <c r="F81" s="31"/>
      <c r="G81" s="16" t="s">
        <v>99</v>
      </c>
      <c r="H81" s="16" t="s">
        <v>151</v>
      </c>
      <c r="I81" s="17">
        <f>5643.61</f>
        <v>5643.61</v>
      </c>
      <c r="J81" s="32">
        <f>2000</f>
        <v>2000</v>
      </c>
      <c r="K81" s="32"/>
      <c r="L81" s="32"/>
      <c r="M81" s="32"/>
      <c r="N81" s="54">
        <f>3643.61</f>
        <v>3643.61</v>
      </c>
      <c r="O81" s="54"/>
    </row>
    <row r="82" spans="1:15" s="1" customFormat="1" ht="13.5" customHeight="1">
      <c r="A82" s="31" t="s">
        <v>114</v>
      </c>
      <c r="B82" s="31"/>
      <c r="C82" s="31"/>
      <c r="D82" s="31"/>
      <c r="E82" s="31"/>
      <c r="F82" s="31"/>
      <c r="G82" s="16" t="s">
        <v>99</v>
      </c>
      <c r="H82" s="16" t="s">
        <v>152</v>
      </c>
      <c r="I82" s="17">
        <f>271.39</f>
        <v>271.39</v>
      </c>
      <c r="J82" s="32">
        <f>271.39</f>
        <v>271.39</v>
      </c>
      <c r="K82" s="32"/>
      <c r="L82" s="32"/>
      <c r="M82" s="32"/>
      <c r="N82" s="54">
        <f>0</f>
        <v>0</v>
      </c>
      <c r="O82" s="54"/>
    </row>
    <row r="83" spans="1:15" s="1" customFormat="1" ht="13.5" customHeight="1">
      <c r="A83" s="31" t="s">
        <v>125</v>
      </c>
      <c r="B83" s="31"/>
      <c r="C83" s="31"/>
      <c r="D83" s="31"/>
      <c r="E83" s="31"/>
      <c r="F83" s="31"/>
      <c r="G83" s="16" t="s">
        <v>99</v>
      </c>
      <c r="H83" s="16" t="s">
        <v>153</v>
      </c>
      <c r="I83" s="17">
        <f>1225548</f>
        <v>1225548</v>
      </c>
      <c r="J83" s="32">
        <f>801928.46</f>
        <v>801928.46</v>
      </c>
      <c r="K83" s="32"/>
      <c r="L83" s="32"/>
      <c r="M83" s="32"/>
      <c r="N83" s="54">
        <f>423619.54</f>
        <v>423619.54</v>
      </c>
      <c r="O83" s="54"/>
    </row>
    <row r="84" spans="1:15" s="1" customFormat="1" ht="24" customHeight="1">
      <c r="A84" s="31" t="s">
        <v>129</v>
      </c>
      <c r="B84" s="31"/>
      <c r="C84" s="31"/>
      <c r="D84" s="31"/>
      <c r="E84" s="31"/>
      <c r="F84" s="31"/>
      <c r="G84" s="16" t="s">
        <v>99</v>
      </c>
      <c r="H84" s="16" t="s">
        <v>154</v>
      </c>
      <c r="I84" s="17">
        <f>370116</f>
        <v>370116</v>
      </c>
      <c r="J84" s="32">
        <f>236649.47</f>
        <v>236649.47</v>
      </c>
      <c r="K84" s="32"/>
      <c r="L84" s="32"/>
      <c r="M84" s="32"/>
      <c r="N84" s="54">
        <f>133466.53</f>
        <v>133466.53</v>
      </c>
      <c r="O84" s="54"/>
    </row>
    <row r="85" spans="1:15" s="1" customFormat="1" ht="13.5" customHeight="1">
      <c r="A85" s="31" t="s">
        <v>125</v>
      </c>
      <c r="B85" s="31"/>
      <c r="C85" s="31"/>
      <c r="D85" s="31"/>
      <c r="E85" s="31"/>
      <c r="F85" s="31"/>
      <c r="G85" s="16" t="s">
        <v>99</v>
      </c>
      <c r="H85" s="16" t="s">
        <v>155</v>
      </c>
      <c r="I85" s="17">
        <f>1640368.03</f>
        <v>1640368.03</v>
      </c>
      <c r="J85" s="32">
        <f>1332401.15</f>
        <v>1332401.15</v>
      </c>
      <c r="K85" s="32"/>
      <c r="L85" s="32"/>
      <c r="M85" s="32"/>
      <c r="N85" s="54">
        <f>307966.88</f>
        <v>307966.88</v>
      </c>
      <c r="O85" s="54"/>
    </row>
    <row r="86" spans="1:15" s="1" customFormat="1" ht="24" customHeight="1">
      <c r="A86" s="31" t="s">
        <v>129</v>
      </c>
      <c r="B86" s="31"/>
      <c r="C86" s="31"/>
      <c r="D86" s="31"/>
      <c r="E86" s="31"/>
      <c r="F86" s="31"/>
      <c r="G86" s="16" t="s">
        <v>99</v>
      </c>
      <c r="H86" s="16" t="s">
        <v>156</v>
      </c>
      <c r="I86" s="17">
        <f>495391.97</f>
        <v>495391.97</v>
      </c>
      <c r="J86" s="32">
        <f>403325.96</f>
        <v>403325.96</v>
      </c>
      <c r="K86" s="32"/>
      <c r="L86" s="32"/>
      <c r="M86" s="32"/>
      <c r="N86" s="54">
        <f>92066.01</f>
        <v>92066.01</v>
      </c>
      <c r="O86" s="54"/>
    </row>
    <row r="87" spans="1:15" s="1" customFormat="1" ht="13.5" customHeight="1">
      <c r="A87" s="31" t="s">
        <v>100</v>
      </c>
      <c r="B87" s="31"/>
      <c r="C87" s="31"/>
      <c r="D87" s="31"/>
      <c r="E87" s="31"/>
      <c r="F87" s="31"/>
      <c r="G87" s="16" t="s">
        <v>99</v>
      </c>
      <c r="H87" s="16" t="s">
        <v>157</v>
      </c>
      <c r="I87" s="17">
        <f>209.24</f>
        <v>209.24</v>
      </c>
      <c r="J87" s="34" t="s">
        <v>43</v>
      </c>
      <c r="K87" s="34"/>
      <c r="L87" s="34"/>
      <c r="M87" s="34"/>
      <c r="N87" s="54">
        <f>209.24</f>
        <v>209.24</v>
      </c>
      <c r="O87" s="54"/>
    </row>
    <row r="88" spans="1:15" s="1" customFormat="1" ht="33.75" customHeight="1">
      <c r="A88" s="31" t="s">
        <v>102</v>
      </c>
      <c r="B88" s="31"/>
      <c r="C88" s="31"/>
      <c r="D88" s="31"/>
      <c r="E88" s="31"/>
      <c r="F88" s="31"/>
      <c r="G88" s="16" t="s">
        <v>99</v>
      </c>
      <c r="H88" s="16" t="s">
        <v>158</v>
      </c>
      <c r="I88" s="17">
        <f>63.2</f>
        <v>63.2</v>
      </c>
      <c r="J88" s="34" t="s">
        <v>43</v>
      </c>
      <c r="K88" s="34"/>
      <c r="L88" s="34"/>
      <c r="M88" s="34"/>
      <c r="N88" s="54">
        <f>63.2</f>
        <v>63.2</v>
      </c>
      <c r="O88" s="54"/>
    </row>
    <row r="89" spans="1:15" s="1" customFormat="1" ht="13.5" customHeight="1">
      <c r="A89" s="31" t="s">
        <v>114</v>
      </c>
      <c r="B89" s="31"/>
      <c r="C89" s="31"/>
      <c r="D89" s="31"/>
      <c r="E89" s="31"/>
      <c r="F89" s="31"/>
      <c r="G89" s="16" t="s">
        <v>99</v>
      </c>
      <c r="H89" s="16" t="s">
        <v>159</v>
      </c>
      <c r="I89" s="17">
        <f>26984.7</f>
        <v>26984.7</v>
      </c>
      <c r="J89" s="34" t="s">
        <v>43</v>
      </c>
      <c r="K89" s="34"/>
      <c r="L89" s="34"/>
      <c r="M89" s="34"/>
      <c r="N89" s="54">
        <f>26984.7</f>
        <v>26984.7</v>
      </c>
      <c r="O89" s="54"/>
    </row>
    <row r="90" spans="1:15" s="1" customFormat="1" ht="13.5" customHeight="1">
      <c r="A90" s="31" t="s">
        <v>114</v>
      </c>
      <c r="B90" s="31"/>
      <c r="C90" s="31"/>
      <c r="D90" s="31"/>
      <c r="E90" s="31"/>
      <c r="F90" s="31"/>
      <c r="G90" s="16" t="s">
        <v>99</v>
      </c>
      <c r="H90" s="16" t="s">
        <v>160</v>
      </c>
      <c r="I90" s="17">
        <f>3015.3</f>
        <v>3015.3</v>
      </c>
      <c r="J90" s="34" t="s">
        <v>43</v>
      </c>
      <c r="K90" s="34"/>
      <c r="L90" s="34"/>
      <c r="M90" s="34"/>
      <c r="N90" s="54">
        <f>3015.3</f>
        <v>3015.3</v>
      </c>
      <c r="O90" s="54"/>
    </row>
    <row r="91" spans="1:15" s="1" customFormat="1" ht="13.5" customHeight="1">
      <c r="A91" s="31" t="s">
        <v>114</v>
      </c>
      <c r="B91" s="31"/>
      <c r="C91" s="31"/>
      <c r="D91" s="31"/>
      <c r="E91" s="31"/>
      <c r="F91" s="31"/>
      <c r="G91" s="16" t="s">
        <v>99</v>
      </c>
      <c r="H91" s="16" t="s">
        <v>161</v>
      </c>
      <c r="I91" s="17">
        <f>1840000</f>
        <v>1840000</v>
      </c>
      <c r="J91" s="32">
        <f>1039262.4</f>
        <v>1039262.4</v>
      </c>
      <c r="K91" s="32"/>
      <c r="L91" s="32"/>
      <c r="M91" s="32"/>
      <c r="N91" s="54">
        <f>800737.6</f>
        <v>800737.6</v>
      </c>
      <c r="O91" s="54"/>
    </row>
    <row r="92" spans="1:15" s="1" customFormat="1" ht="13.5" customHeight="1">
      <c r="A92" s="31" t="s">
        <v>114</v>
      </c>
      <c r="B92" s="31"/>
      <c r="C92" s="31"/>
      <c r="D92" s="31"/>
      <c r="E92" s="31"/>
      <c r="F92" s="31"/>
      <c r="G92" s="16" t="s">
        <v>99</v>
      </c>
      <c r="H92" s="16" t="s">
        <v>162</v>
      </c>
      <c r="I92" s="17">
        <f>8358836.54</f>
        <v>8358836.54</v>
      </c>
      <c r="J92" s="32">
        <f>4503008.01</f>
        <v>4503008.01</v>
      </c>
      <c r="K92" s="32"/>
      <c r="L92" s="32"/>
      <c r="M92" s="32"/>
      <c r="N92" s="54">
        <f>3855828.53</f>
        <v>3855828.53</v>
      </c>
      <c r="O92" s="54"/>
    </row>
    <row r="93" spans="1:15" s="1" customFormat="1" ht="13.5" customHeight="1">
      <c r="A93" s="31" t="s">
        <v>114</v>
      </c>
      <c r="B93" s="31"/>
      <c r="C93" s="31"/>
      <c r="D93" s="31"/>
      <c r="E93" s="31"/>
      <c r="F93" s="31"/>
      <c r="G93" s="16" t="s">
        <v>99</v>
      </c>
      <c r="H93" s="16" t="s">
        <v>163</v>
      </c>
      <c r="I93" s="17">
        <f>2092000</f>
        <v>2092000</v>
      </c>
      <c r="J93" s="32">
        <f>1086540</f>
        <v>1086540</v>
      </c>
      <c r="K93" s="32"/>
      <c r="L93" s="32"/>
      <c r="M93" s="32"/>
      <c r="N93" s="54">
        <f>1005460</f>
        <v>1005460</v>
      </c>
      <c r="O93" s="54"/>
    </row>
    <row r="94" spans="1:15" s="1" customFormat="1" ht="13.5" customHeight="1">
      <c r="A94" s="31" t="s">
        <v>114</v>
      </c>
      <c r="B94" s="31"/>
      <c r="C94" s="31"/>
      <c r="D94" s="31"/>
      <c r="E94" s="31"/>
      <c r="F94" s="31"/>
      <c r="G94" s="16" t="s">
        <v>99</v>
      </c>
      <c r="H94" s="16" t="s">
        <v>164</v>
      </c>
      <c r="I94" s="17">
        <f>320000</f>
        <v>320000</v>
      </c>
      <c r="J94" s="32">
        <f>275271.68</f>
        <v>275271.68</v>
      </c>
      <c r="K94" s="32"/>
      <c r="L94" s="32"/>
      <c r="M94" s="32"/>
      <c r="N94" s="54">
        <f>44728.32</f>
        <v>44728.32</v>
      </c>
      <c r="O94" s="54"/>
    </row>
    <row r="95" spans="1:15" s="1" customFormat="1" ht="24" customHeight="1">
      <c r="A95" s="31" t="s">
        <v>131</v>
      </c>
      <c r="B95" s="31"/>
      <c r="C95" s="31"/>
      <c r="D95" s="31"/>
      <c r="E95" s="31"/>
      <c r="F95" s="31"/>
      <c r="G95" s="16" t="s">
        <v>99</v>
      </c>
      <c r="H95" s="16" t="s">
        <v>165</v>
      </c>
      <c r="I95" s="17">
        <f>531956.48</f>
        <v>531956.48</v>
      </c>
      <c r="J95" s="32">
        <f>270678.44</f>
        <v>270678.44</v>
      </c>
      <c r="K95" s="32"/>
      <c r="L95" s="32"/>
      <c r="M95" s="32"/>
      <c r="N95" s="54">
        <f>261278.04</f>
        <v>261278.04</v>
      </c>
      <c r="O95" s="54"/>
    </row>
    <row r="96" spans="1:15" s="1" customFormat="1" ht="13.5" customHeight="1">
      <c r="A96" s="31" t="s">
        <v>114</v>
      </c>
      <c r="B96" s="31"/>
      <c r="C96" s="31"/>
      <c r="D96" s="31"/>
      <c r="E96" s="31"/>
      <c r="F96" s="31"/>
      <c r="G96" s="16" t="s">
        <v>99</v>
      </c>
      <c r="H96" s="16" t="s">
        <v>166</v>
      </c>
      <c r="I96" s="17">
        <f>609838.38</f>
        <v>609838.38</v>
      </c>
      <c r="J96" s="32">
        <f>336247.72</f>
        <v>336247.72</v>
      </c>
      <c r="K96" s="32"/>
      <c r="L96" s="32"/>
      <c r="M96" s="32"/>
      <c r="N96" s="54">
        <f>273590.66</f>
        <v>273590.66</v>
      </c>
      <c r="O96" s="54"/>
    </row>
    <row r="97" spans="1:15" s="1" customFormat="1" ht="13.5" customHeight="1">
      <c r="A97" s="31" t="s">
        <v>137</v>
      </c>
      <c r="B97" s="31"/>
      <c r="C97" s="31"/>
      <c r="D97" s="31"/>
      <c r="E97" s="31"/>
      <c r="F97" s="31"/>
      <c r="G97" s="16" t="s">
        <v>99</v>
      </c>
      <c r="H97" s="16" t="s">
        <v>167</v>
      </c>
      <c r="I97" s="17">
        <f>496154.94</f>
        <v>496154.94</v>
      </c>
      <c r="J97" s="32">
        <f>484296.9</f>
        <v>484296.9</v>
      </c>
      <c r="K97" s="32"/>
      <c r="L97" s="32"/>
      <c r="M97" s="32"/>
      <c r="N97" s="54">
        <f>11858.04</f>
        <v>11858.04</v>
      </c>
      <c r="O97" s="54"/>
    </row>
    <row r="98" spans="1:15" s="1" customFormat="1" ht="13.5" customHeight="1">
      <c r="A98" s="31" t="s">
        <v>108</v>
      </c>
      <c r="B98" s="31"/>
      <c r="C98" s="31"/>
      <c r="D98" s="31"/>
      <c r="E98" s="31"/>
      <c r="F98" s="31"/>
      <c r="G98" s="16" t="s">
        <v>99</v>
      </c>
      <c r="H98" s="16" t="s">
        <v>168</v>
      </c>
      <c r="I98" s="17">
        <f>11661966.8</f>
        <v>11661966.8</v>
      </c>
      <c r="J98" s="32">
        <f>11661966.8</f>
        <v>11661966.8</v>
      </c>
      <c r="K98" s="32"/>
      <c r="L98" s="32"/>
      <c r="M98" s="32"/>
      <c r="N98" s="54">
        <f>0</f>
        <v>0</v>
      </c>
      <c r="O98" s="54"/>
    </row>
    <row r="99" spans="1:15" s="1" customFormat="1" ht="13.5" customHeight="1">
      <c r="A99" s="31" t="s">
        <v>108</v>
      </c>
      <c r="B99" s="31"/>
      <c r="C99" s="31"/>
      <c r="D99" s="31"/>
      <c r="E99" s="31"/>
      <c r="F99" s="31"/>
      <c r="G99" s="16" t="s">
        <v>99</v>
      </c>
      <c r="H99" s="16" t="s">
        <v>169</v>
      </c>
      <c r="I99" s="17">
        <f>6629724</f>
        <v>6629724</v>
      </c>
      <c r="J99" s="34" t="s">
        <v>43</v>
      </c>
      <c r="K99" s="34"/>
      <c r="L99" s="34"/>
      <c r="M99" s="34"/>
      <c r="N99" s="54">
        <f>6629724</f>
        <v>6629724</v>
      </c>
      <c r="O99" s="54"/>
    </row>
    <row r="100" spans="1:15" s="1" customFormat="1" ht="13.5" customHeight="1">
      <c r="A100" s="31" t="s">
        <v>108</v>
      </c>
      <c r="B100" s="31"/>
      <c r="C100" s="31"/>
      <c r="D100" s="31"/>
      <c r="E100" s="31"/>
      <c r="F100" s="31"/>
      <c r="G100" s="16" t="s">
        <v>99</v>
      </c>
      <c r="H100" s="16" t="s">
        <v>170</v>
      </c>
      <c r="I100" s="17">
        <f>3658.76</f>
        <v>3658.76</v>
      </c>
      <c r="J100" s="32">
        <f>918.54</f>
        <v>918.54</v>
      </c>
      <c r="K100" s="32"/>
      <c r="L100" s="32"/>
      <c r="M100" s="32"/>
      <c r="N100" s="54">
        <f>2740.22</f>
        <v>2740.22</v>
      </c>
      <c r="O100" s="54"/>
    </row>
    <row r="101" spans="1:15" s="1" customFormat="1" ht="13.5" customHeight="1">
      <c r="A101" s="31" t="s">
        <v>108</v>
      </c>
      <c r="B101" s="31"/>
      <c r="C101" s="31"/>
      <c r="D101" s="31"/>
      <c r="E101" s="31"/>
      <c r="F101" s="31"/>
      <c r="G101" s="16" t="s">
        <v>99</v>
      </c>
      <c r="H101" s="16" t="s">
        <v>171</v>
      </c>
      <c r="I101" s="17">
        <f>736636.01</f>
        <v>736636.01</v>
      </c>
      <c r="J101" s="34" t="s">
        <v>43</v>
      </c>
      <c r="K101" s="34"/>
      <c r="L101" s="34"/>
      <c r="M101" s="34"/>
      <c r="N101" s="54">
        <f>736636.01</f>
        <v>736636.01</v>
      </c>
      <c r="O101" s="54"/>
    </row>
    <row r="102" spans="1:15" s="1" customFormat="1" ht="13.5" customHeight="1">
      <c r="A102" s="31" t="s">
        <v>108</v>
      </c>
      <c r="B102" s="31"/>
      <c r="C102" s="31"/>
      <c r="D102" s="31"/>
      <c r="E102" s="31"/>
      <c r="F102" s="31"/>
      <c r="G102" s="16" t="s">
        <v>99</v>
      </c>
      <c r="H102" s="16" t="s">
        <v>172</v>
      </c>
      <c r="I102" s="17">
        <f>2439.17</f>
        <v>2439.17</v>
      </c>
      <c r="J102" s="32">
        <f>627.17</f>
        <v>627.17</v>
      </c>
      <c r="K102" s="32"/>
      <c r="L102" s="32"/>
      <c r="M102" s="32"/>
      <c r="N102" s="54">
        <f>1812</f>
        <v>1812</v>
      </c>
      <c r="O102" s="54"/>
    </row>
    <row r="103" spans="1:15" s="1" customFormat="1" ht="13.5" customHeight="1">
      <c r="A103" s="31" t="s">
        <v>114</v>
      </c>
      <c r="B103" s="31"/>
      <c r="C103" s="31"/>
      <c r="D103" s="31"/>
      <c r="E103" s="31"/>
      <c r="F103" s="31"/>
      <c r="G103" s="16" t="s">
        <v>99</v>
      </c>
      <c r="H103" s="16" t="s">
        <v>173</v>
      </c>
      <c r="I103" s="17">
        <f>1071640.07</f>
        <v>1071640.07</v>
      </c>
      <c r="J103" s="32">
        <f>1044300</f>
        <v>1044300</v>
      </c>
      <c r="K103" s="32"/>
      <c r="L103" s="32"/>
      <c r="M103" s="32"/>
      <c r="N103" s="54">
        <f>27340.07</f>
        <v>27340.07</v>
      </c>
      <c r="O103" s="54"/>
    </row>
    <row r="104" spans="1:15" s="1" customFormat="1" ht="13.5" customHeight="1">
      <c r="A104" s="31" t="s">
        <v>137</v>
      </c>
      <c r="B104" s="31"/>
      <c r="C104" s="31"/>
      <c r="D104" s="31"/>
      <c r="E104" s="31"/>
      <c r="F104" s="31"/>
      <c r="G104" s="16" t="s">
        <v>99</v>
      </c>
      <c r="H104" s="16" t="s">
        <v>174</v>
      </c>
      <c r="I104" s="17">
        <f>1051966.45</f>
        <v>1051966.45</v>
      </c>
      <c r="J104" s="32">
        <f>560534.09</f>
        <v>560534.09</v>
      </c>
      <c r="K104" s="32"/>
      <c r="L104" s="32"/>
      <c r="M104" s="32"/>
      <c r="N104" s="54">
        <f>491432.36</f>
        <v>491432.36</v>
      </c>
      <c r="O104" s="54"/>
    </row>
    <row r="105" spans="1:15" s="1" customFormat="1" ht="13.5" customHeight="1">
      <c r="A105" s="31" t="s">
        <v>114</v>
      </c>
      <c r="B105" s="31"/>
      <c r="C105" s="31"/>
      <c r="D105" s="31"/>
      <c r="E105" s="31"/>
      <c r="F105" s="31"/>
      <c r="G105" s="16" t="s">
        <v>99</v>
      </c>
      <c r="H105" s="16" t="s">
        <v>175</v>
      </c>
      <c r="I105" s="17">
        <f>90914.89</f>
        <v>90914.89</v>
      </c>
      <c r="J105" s="32">
        <f>7142.14</f>
        <v>7142.14</v>
      </c>
      <c r="K105" s="32"/>
      <c r="L105" s="32"/>
      <c r="M105" s="32"/>
      <c r="N105" s="54">
        <f>83772.75</f>
        <v>83772.75</v>
      </c>
      <c r="O105" s="54"/>
    </row>
    <row r="106" spans="1:15" s="1" customFormat="1" ht="13.5" customHeight="1">
      <c r="A106" s="31" t="s">
        <v>114</v>
      </c>
      <c r="B106" s="31"/>
      <c r="C106" s="31"/>
      <c r="D106" s="31"/>
      <c r="E106" s="31"/>
      <c r="F106" s="31"/>
      <c r="G106" s="16" t="s">
        <v>99</v>
      </c>
      <c r="H106" s="16" t="s">
        <v>176</v>
      </c>
      <c r="I106" s="17">
        <f>22808</f>
        <v>22808</v>
      </c>
      <c r="J106" s="32">
        <f>22808</f>
        <v>22808</v>
      </c>
      <c r="K106" s="32"/>
      <c r="L106" s="32"/>
      <c r="M106" s="32"/>
      <c r="N106" s="54">
        <f>0</f>
        <v>0</v>
      </c>
      <c r="O106" s="54"/>
    </row>
    <row r="107" spans="1:15" s="1" customFormat="1" ht="13.5" customHeight="1">
      <c r="A107" s="31" t="s">
        <v>114</v>
      </c>
      <c r="B107" s="31"/>
      <c r="C107" s="31"/>
      <c r="D107" s="31"/>
      <c r="E107" s="31"/>
      <c r="F107" s="31"/>
      <c r="G107" s="16" t="s">
        <v>99</v>
      </c>
      <c r="H107" s="16" t="s">
        <v>177</v>
      </c>
      <c r="I107" s="17">
        <f>1165000</f>
        <v>1165000</v>
      </c>
      <c r="J107" s="32">
        <f>772877</f>
        <v>772877</v>
      </c>
      <c r="K107" s="32"/>
      <c r="L107" s="32"/>
      <c r="M107" s="32"/>
      <c r="N107" s="54">
        <f>392123</f>
        <v>392123</v>
      </c>
      <c r="O107" s="54"/>
    </row>
    <row r="108" spans="1:15" s="1" customFormat="1" ht="13.5" customHeight="1">
      <c r="A108" s="31" t="s">
        <v>114</v>
      </c>
      <c r="B108" s="31"/>
      <c r="C108" s="31"/>
      <c r="D108" s="31"/>
      <c r="E108" s="31"/>
      <c r="F108" s="31"/>
      <c r="G108" s="16" t="s">
        <v>99</v>
      </c>
      <c r="H108" s="16" t="s">
        <v>178</v>
      </c>
      <c r="I108" s="17">
        <f>916500</f>
        <v>916500</v>
      </c>
      <c r="J108" s="32">
        <f>585169.02</f>
        <v>585169.02</v>
      </c>
      <c r="K108" s="32"/>
      <c r="L108" s="32"/>
      <c r="M108" s="32"/>
      <c r="N108" s="54">
        <f>331330.98</f>
        <v>331330.98</v>
      </c>
      <c r="O108" s="54"/>
    </row>
    <row r="109" spans="1:15" s="1" customFormat="1" ht="13.5" customHeight="1">
      <c r="A109" s="31" t="s">
        <v>108</v>
      </c>
      <c r="B109" s="31"/>
      <c r="C109" s="31"/>
      <c r="D109" s="31"/>
      <c r="E109" s="31"/>
      <c r="F109" s="31"/>
      <c r="G109" s="16" t="s">
        <v>99</v>
      </c>
      <c r="H109" s="16" t="s">
        <v>179</v>
      </c>
      <c r="I109" s="17">
        <f>2460500</f>
        <v>2460500</v>
      </c>
      <c r="J109" s="34" t="s">
        <v>43</v>
      </c>
      <c r="K109" s="34"/>
      <c r="L109" s="34"/>
      <c r="M109" s="34"/>
      <c r="N109" s="54">
        <f>2460500</f>
        <v>2460500</v>
      </c>
      <c r="O109" s="54"/>
    </row>
    <row r="110" spans="1:15" s="1" customFormat="1" ht="13.5" customHeight="1">
      <c r="A110" s="31" t="s">
        <v>108</v>
      </c>
      <c r="B110" s="31"/>
      <c r="C110" s="31"/>
      <c r="D110" s="31"/>
      <c r="E110" s="31"/>
      <c r="F110" s="31"/>
      <c r="G110" s="16" t="s">
        <v>99</v>
      </c>
      <c r="H110" s="16" t="s">
        <v>180</v>
      </c>
      <c r="I110" s="17">
        <f>1275120</f>
        <v>1275120</v>
      </c>
      <c r="J110" s="34" t="s">
        <v>43</v>
      </c>
      <c r="K110" s="34"/>
      <c r="L110" s="34"/>
      <c r="M110" s="34"/>
      <c r="N110" s="54">
        <f>1275120</f>
        <v>1275120</v>
      </c>
      <c r="O110" s="54"/>
    </row>
    <row r="111" spans="1:15" s="1" customFormat="1" ht="13.5" customHeight="1">
      <c r="A111" s="31" t="s">
        <v>114</v>
      </c>
      <c r="B111" s="31"/>
      <c r="C111" s="31"/>
      <c r="D111" s="31"/>
      <c r="E111" s="31"/>
      <c r="F111" s="31"/>
      <c r="G111" s="16" t="s">
        <v>99</v>
      </c>
      <c r="H111" s="16" t="s">
        <v>181</v>
      </c>
      <c r="I111" s="17">
        <f>796984.7</f>
        <v>796984.7</v>
      </c>
      <c r="J111" s="32">
        <f>440325.6</f>
        <v>440325.6</v>
      </c>
      <c r="K111" s="32"/>
      <c r="L111" s="32"/>
      <c r="M111" s="32"/>
      <c r="N111" s="54">
        <f>356659.1</f>
        <v>356659.1</v>
      </c>
      <c r="O111" s="54"/>
    </row>
    <row r="112" spans="1:15" s="1" customFormat="1" ht="13.5" customHeight="1">
      <c r="A112" s="31" t="s">
        <v>108</v>
      </c>
      <c r="B112" s="31"/>
      <c r="C112" s="31"/>
      <c r="D112" s="31"/>
      <c r="E112" s="31"/>
      <c r="F112" s="31"/>
      <c r="G112" s="16" t="s">
        <v>99</v>
      </c>
      <c r="H112" s="16" t="s">
        <v>182</v>
      </c>
      <c r="I112" s="17">
        <f>294193</f>
        <v>294193</v>
      </c>
      <c r="J112" s="32">
        <f>220644.75</f>
        <v>220644.75</v>
      </c>
      <c r="K112" s="32"/>
      <c r="L112" s="32"/>
      <c r="M112" s="32"/>
      <c r="N112" s="54">
        <f>73548.25</f>
        <v>73548.25</v>
      </c>
      <c r="O112" s="54"/>
    </row>
    <row r="113" spans="1:15" s="1" customFormat="1" ht="13.5" customHeight="1">
      <c r="A113" s="31" t="s">
        <v>108</v>
      </c>
      <c r="B113" s="31"/>
      <c r="C113" s="31"/>
      <c r="D113" s="31"/>
      <c r="E113" s="31"/>
      <c r="F113" s="31"/>
      <c r="G113" s="16" t="s">
        <v>99</v>
      </c>
      <c r="H113" s="16" t="s">
        <v>183</v>
      </c>
      <c r="I113" s="17">
        <f>545795.2</f>
        <v>545795.2</v>
      </c>
      <c r="J113" s="32">
        <f>418897.6</f>
        <v>418897.6</v>
      </c>
      <c r="K113" s="32"/>
      <c r="L113" s="32"/>
      <c r="M113" s="32"/>
      <c r="N113" s="54">
        <f>126897.6</f>
        <v>126897.6</v>
      </c>
      <c r="O113" s="54"/>
    </row>
    <row r="114" spans="1:15" s="1" customFormat="1" ht="13.5" customHeight="1">
      <c r="A114" s="31" t="s">
        <v>125</v>
      </c>
      <c r="B114" s="31"/>
      <c r="C114" s="31"/>
      <c r="D114" s="31"/>
      <c r="E114" s="31"/>
      <c r="F114" s="31"/>
      <c r="G114" s="16" t="s">
        <v>99</v>
      </c>
      <c r="H114" s="16" t="s">
        <v>184</v>
      </c>
      <c r="I114" s="17">
        <f>19099.95</f>
        <v>19099.95</v>
      </c>
      <c r="J114" s="32">
        <f>19099.95</f>
        <v>19099.95</v>
      </c>
      <c r="K114" s="32"/>
      <c r="L114" s="32"/>
      <c r="M114" s="32"/>
      <c r="N114" s="54">
        <f>0</f>
        <v>0</v>
      </c>
      <c r="O114" s="54"/>
    </row>
    <row r="115" spans="1:15" s="1" customFormat="1" ht="24" customHeight="1">
      <c r="A115" s="31" t="s">
        <v>129</v>
      </c>
      <c r="B115" s="31"/>
      <c r="C115" s="31"/>
      <c r="D115" s="31"/>
      <c r="E115" s="31"/>
      <c r="F115" s="31"/>
      <c r="G115" s="16" t="s">
        <v>99</v>
      </c>
      <c r="H115" s="16" t="s">
        <v>185</v>
      </c>
      <c r="I115" s="17">
        <f>5768.19</f>
        <v>5768.19</v>
      </c>
      <c r="J115" s="32">
        <f>4783.34</f>
        <v>4783.34</v>
      </c>
      <c r="K115" s="32"/>
      <c r="L115" s="32"/>
      <c r="M115" s="32"/>
      <c r="N115" s="54">
        <f>984.85</f>
        <v>984.85</v>
      </c>
      <c r="O115" s="54"/>
    </row>
    <row r="116" spans="1:15" s="1" customFormat="1" ht="13.5" customHeight="1">
      <c r="A116" s="31" t="s">
        <v>114</v>
      </c>
      <c r="B116" s="31"/>
      <c r="C116" s="31"/>
      <c r="D116" s="31"/>
      <c r="E116" s="31"/>
      <c r="F116" s="31"/>
      <c r="G116" s="16" t="s">
        <v>99</v>
      </c>
      <c r="H116" s="16" t="s">
        <v>186</v>
      </c>
      <c r="I116" s="17">
        <f>23049</f>
        <v>23049</v>
      </c>
      <c r="J116" s="32">
        <f>3000</f>
        <v>3000</v>
      </c>
      <c r="K116" s="32"/>
      <c r="L116" s="32"/>
      <c r="M116" s="32"/>
      <c r="N116" s="54">
        <f>20049</f>
        <v>20049</v>
      </c>
      <c r="O116" s="54"/>
    </row>
    <row r="117" spans="1:15" s="1" customFormat="1" ht="13.5" customHeight="1">
      <c r="A117" s="31" t="s">
        <v>114</v>
      </c>
      <c r="B117" s="31"/>
      <c r="C117" s="31"/>
      <c r="D117" s="31"/>
      <c r="E117" s="31"/>
      <c r="F117" s="31"/>
      <c r="G117" s="16" t="s">
        <v>99</v>
      </c>
      <c r="H117" s="16" t="s">
        <v>187</v>
      </c>
      <c r="I117" s="17">
        <f>89500</f>
        <v>89500</v>
      </c>
      <c r="J117" s="32">
        <f>31334.6</f>
        <v>31334.6</v>
      </c>
      <c r="K117" s="32"/>
      <c r="L117" s="32"/>
      <c r="M117" s="32"/>
      <c r="N117" s="54">
        <f>58165.4</f>
        <v>58165.4</v>
      </c>
      <c r="O117" s="54"/>
    </row>
    <row r="118" spans="1:15" s="1" customFormat="1" ht="13.5" customHeight="1">
      <c r="A118" s="31" t="s">
        <v>114</v>
      </c>
      <c r="B118" s="31"/>
      <c r="C118" s="31"/>
      <c r="D118" s="31"/>
      <c r="E118" s="31"/>
      <c r="F118" s="31"/>
      <c r="G118" s="16" t="s">
        <v>99</v>
      </c>
      <c r="H118" s="16" t="s">
        <v>188</v>
      </c>
      <c r="I118" s="17">
        <f>874150</f>
        <v>874150</v>
      </c>
      <c r="J118" s="32">
        <f>398001</f>
        <v>398001</v>
      </c>
      <c r="K118" s="32"/>
      <c r="L118" s="32"/>
      <c r="M118" s="32"/>
      <c r="N118" s="54">
        <f>476149</f>
        <v>476149</v>
      </c>
      <c r="O118" s="54"/>
    </row>
    <row r="119" spans="1:15" s="1" customFormat="1" ht="13.5" customHeight="1">
      <c r="A119" s="31" t="s">
        <v>125</v>
      </c>
      <c r="B119" s="31"/>
      <c r="C119" s="31"/>
      <c r="D119" s="31"/>
      <c r="E119" s="31"/>
      <c r="F119" s="31"/>
      <c r="G119" s="16" t="s">
        <v>99</v>
      </c>
      <c r="H119" s="16" t="s">
        <v>189</v>
      </c>
      <c r="I119" s="17">
        <f>4027877.76</f>
        <v>4027877.76</v>
      </c>
      <c r="J119" s="32">
        <f>2846416.84</f>
        <v>2846416.84</v>
      </c>
      <c r="K119" s="32"/>
      <c r="L119" s="32"/>
      <c r="M119" s="32"/>
      <c r="N119" s="54">
        <f>1181460.92</f>
        <v>1181460.92</v>
      </c>
      <c r="O119" s="54"/>
    </row>
    <row r="120" spans="1:15" s="1" customFormat="1" ht="13.5" customHeight="1">
      <c r="A120" s="31" t="s">
        <v>127</v>
      </c>
      <c r="B120" s="31"/>
      <c r="C120" s="31"/>
      <c r="D120" s="31"/>
      <c r="E120" s="31"/>
      <c r="F120" s="31"/>
      <c r="G120" s="16" t="s">
        <v>99</v>
      </c>
      <c r="H120" s="16" t="s">
        <v>190</v>
      </c>
      <c r="I120" s="17">
        <f>285000</f>
        <v>285000</v>
      </c>
      <c r="J120" s="32">
        <f>59787.48</f>
        <v>59787.48</v>
      </c>
      <c r="K120" s="32"/>
      <c r="L120" s="32"/>
      <c r="M120" s="32"/>
      <c r="N120" s="54">
        <f>225212.52</f>
        <v>225212.52</v>
      </c>
      <c r="O120" s="54"/>
    </row>
    <row r="121" spans="1:15" s="1" customFormat="1" ht="24" customHeight="1">
      <c r="A121" s="31" t="s">
        <v>129</v>
      </c>
      <c r="B121" s="31"/>
      <c r="C121" s="31"/>
      <c r="D121" s="31"/>
      <c r="E121" s="31"/>
      <c r="F121" s="31"/>
      <c r="G121" s="16" t="s">
        <v>99</v>
      </c>
      <c r="H121" s="16" t="s">
        <v>191</v>
      </c>
      <c r="I121" s="17">
        <f>1106425.76</f>
        <v>1106425.76</v>
      </c>
      <c r="J121" s="32">
        <f>657333.44</f>
        <v>657333.44</v>
      </c>
      <c r="K121" s="32"/>
      <c r="L121" s="32"/>
      <c r="M121" s="32"/>
      <c r="N121" s="54">
        <f>449092.32</f>
        <v>449092.32</v>
      </c>
      <c r="O121" s="54"/>
    </row>
    <row r="122" spans="1:15" s="1" customFormat="1" ht="24" customHeight="1">
      <c r="A122" s="31" t="s">
        <v>131</v>
      </c>
      <c r="B122" s="31"/>
      <c r="C122" s="31"/>
      <c r="D122" s="31"/>
      <c r="E122" s="31"/>
      <c r="F122" s="31"/>
      <c r="G122" s="16" t="s">
        <v>99</v>
      </c>
      <c r="H122" s="16" t="s">
        <v>192</v>
      </c>
      <c r="I122" s="17">
        <f>48402.21</f>
        <v>48402.21</v>
      </c>
      <c r="J122" s="32">
        <f>19569.53</f>
        <v>19569.53</v>
      </c>
      <c r="K122" s="32"/>
      <c r="L122" s="32"/>
      <c r="M122" s="32"/>
      <c r="N122" s="54">
        <f>28832.68</f>
        <v>28832.68</v>
      </c>
      <c r="O122" s="54"/>
    </row>
    <row r="123" spans="1:15" s="1" customFormat="1" ht="13.5" customHeight="1">
      <c r="A123" s="31" t="s">
        <v>114</v>
      </c>
      <c r="B123" s="31"/>
      <c r="C123" s="31"/>
      <c r="D123" s="31"/>
      <c r="E123" s="31"/>
      <c r="F123" s="31"/>
      <c r="G123" s="16" t="s">
        <v>99</v>
      </c>
      <c r="H123" s="16" t="s">
        <v>193</v>
      </c>
      <c r="I123" s="17">
        <f>856000</f>
        <v>856000</v>
      </c>
      <c r="J123" s="32">
        <f>782726.62</f>
        <v>782726.62</v>
      </c>
      <c r="K123" s="32"/>
      <c r="L123" s="32"/>
      <c r="M123" s="32"/>
      <c r="N123" s="54">
        <f>73273.38</f>
        <v>73273.38</v>
      </c>
      <c r="O123" s="54"/>
    </row>
    <row r="124" spans="1:15" s="1" customFormat="1" ht="13.5" customHeight="1">
      <c r="A124" s="31" t="s">
        <v>137</v>
      </c>
      <c r="B124" s="31"/>
      <c r="C124" s="31"/>
      <c r="D124" s="31"/>
      <c r="E124" s="31"/>
      <c r="F124" s="31"/>
      <c r="G124" s="16" t="s">
        <v>99</v>
      </c>
      <c r="H124" s="16" t="s">
        <v>194</v>
      </c>
      <c r="I124" s="17">
        <f>663943.67</f>
        <v>663943.67</v>
      </c>
      <c r="J124" s="32">
        <f>213893.13</f>
        <v>213893.13</v>
      </c>
      <c r="K124" s="32"/>
      <c r="L124" s="32"/>
      <c r="M124" s="32"/>
      <c r="N124" s="54">
        <f>450050.54</f>
        <v>450050.54</v>
      </c>
      <c r="O124" s="54"/>
    </row>
    <row r="125" spans="1:15" s="1" customFormat="1" ht="13.5" customHeight="1">
      <c r="A125" s="31" t="s">
        <v>195</v>
      </c>
      <c r="B125" s="31"/>
      <c r="C125" s="31"/>
      <c r="D125" s="31"/>
      <c r="E125" s="31"/>
      <c r="F125" s="31"/>
      <c r="G125" s="16" t="s">
        <v>99</v>
      </c>
      <c r="H125" s="16" t="s">
        <v>196</v>
      </c>
      <c r="I125" s="17">
        <f>18424.9</f>
        <v>18424.9</v>
      </c>
      <c r="J125" s="32">
        <f>11872</f>
        <v>11872</v>
      </c>
      <c r="K125" s="32"/>
      <c r="L125" s="32"/>
      <c r="M125" s="32"/>
      <c r="N125" s="54">
        <f>6552.9</f>
        <v>6552.9</v>
      </c>
      <c r="O125" s="54"/>
    </row>
    <row r="126" spans="1:15" s="1" customFormat="1" ht="13.5" customHeight="1">
      <c r="A126" s="31" t="s">
        <v>122</v>
      </c>
      <c r="B126" s="31"/>
      <c r="C126" s="31"/>
      <c r="D126" s="31"/>
      <c r="E126" s="31"/>
      <c r="F126" s="31"/>
      <c r="G126" s="16" t="s">
        <v>99</v>
      </c>
      <c r="H126" s="16" t="s">
        <v>197</v>
      </c>
      <c r="I126" s="17">
        <f>323.95</f>
        <v>323.95</v>
      </c>
      <c r="J126" s="32">
        <f>323.95</f>
        <v>323.95</v>
      </c>
      <c r="K126" s="32"/>
      <c r="L126" s="32"/>
      <c r="M126" s="32"/>
      <c r="N126" s="54">
        <f>0</f>
        <v>0</v>
      </c>
      <c r="O126" s="54"/>
    </row>
    <row r="127" spans="1:15" s="1" customFormat="1" ht="13.5" customHeight="1">
      <c r="A127" s="31" t="s">
        <v>125</v>
      </c>
      <c r="B127" s="31"/>
      <c r="C127" s="31"/>
      <c r="D127" s="31"/>
      <c r="E127" s="31"/>
      <c r="F127" s="31"/>
      <c r="G127" s="16" t="s">
        <v>99</v>
      </c>
      <c r="H127" s="16" t="s">
        <v>198</v>
      </c>
      <c r="I127" s="17">
        <f>1656222.59</f>
        <v>1656222.59</v>
      </c>
      <c r="J127" s="32">
        <f>1161827.94</f>
        <v>1161827.94</v>
      </c>
      <c r="K127" s="32"/>
      <c r="L127" s="32"/>
      <c r="M127" s="32"/>
      <c r="N127" s="54">
        <f>494394.65</f>
        <v>494394.65</v>
      </c>
      <c r="O127" s="54"/>
    </row>
    <row r="128" spans="1:15" s="1" customFormat="1" ht="24" customHeight="1">
      <c r="A128" s="31" t="s">
        <v>129</v>
      </c>
      <c r="B128" s="31"/>
      <c r="C128" s="31"/>
      <c r="D128" s="31"/>
      <c r="E128" s="31"/>
      <c r="F128" s="31"/>
      <c r="G128" s="16" t="s">
        <v>99</v>
      </c>
      <c r="H128" s="16" t="s">
        <v>199</v>
      </c>
      <c r="I128" s="17">
        <f>500179.22</f>
        <v>500179.22</v>
      </c>
      <c r="J128" s="32">
        <f>350872.06</f>
        <v>350872.06</v>
      </c>
      <c r="K128" s="32"/>
      <c r="L128" s="32"/>
      <c r="M128" s="32"/>
      <c r="N128" s="54">
        <f>149307.16</f>
        <v>149307.16</v>
      </c>
      <c r="O128" s="54"/>
    </row>
    <row r="129" spans="1:15" s="1" customFormat="1" ht="13.5" customHeight="1">
      <c r="A129" s="31" t="s">
        <v>200</v>
      </c>
      <c r="B129" s="31"/>
      <c r="C129" s="31"/>
      <c r="D129" s="31"/>
      <c r="E129" s="31"/>
      <c r="F129" s="31"/>
      <c r="G129" s="16" t="s">
        <v>99</v>
      </c>
      <c r="H129" s="16" t="s">
        <v>201</v>
      </c>
      <c r="I129" s="17">
        <f>216000</f>
        <v>216000</v>
      </c>
      <c r="J129" s="32">
        <f>144000</f>
        <v>144000</v>
      </c>
      <c r="K129" s="32"/>
      <c r="L129" s="32"/>
      <c r="M129" s="32"/>
      <c r="N129" s="54">
        <f>72000</f>
        <v>72000</v>
      </c>
      <c r="O129" s="54"/>
    </row>
    <row r="130" spans="1:15" s="1" customFormat="1" ht="13.5" customHeight="1">
      <c r="A130" s="31" t="s">
        <v>114</v>
      </c>
      <c r="B130" s="31"/>
      <c r="C130" s="31"/>
      <c r="D130" s="31"/>
      <c r="E130" s="31"/>
      <c r="F130" s="31"/>
      <c r="G130" s="16" t="s">
        <v>99</v>
      </c>
      <c r="H130" s="16" t="s">
        <v>202</v>
      </c>
      <c r="I130" s="17">
        <f>27000</f>
        <v>27000</v>
      </c>
      <c r="J130" s="32">
        <f>12900</f>
        <v>12900</v>
      </c>
      <c r="K130" s="32"/>
      <c r="L130" s="32"/>
      <c r="M130" s="32"/>
      <c r="N130" s="54">
        <f>14100</f>
        <v>14100</v>
      </c>
      <c r="O130" s="54"/>
    </row>
    <row r="131" spans="1:15" s="1" customFormat="1" ht="15" customHeight="1">
      <c r="A131" s="55" t="s">
        <v>203</v>
      </c>
      <c r="B131" s="55"/>
      <c r="C131" s="55"/>
      <c r="D131" s="55"/>
      <c r="E131" s="55"/>
      <c r="F131" s="55"/>
      <c r="G131" s="18" t="s">
        <v>204</v>
      </c>
      <c r="H131" s="18" t="s">
        <v>38</v>
      </c>
      <c r="I131" s="19">
        <f>-4587575.61</f>
        <v>-4587575.61</v>
      </c>
      <c r="J131" s="56">
        <f>1798628.45</f>
        <v>1798628.45</v>
      </c>
      <c r="K131" s="56"/>
      <c r="L131" s="56"/>
      <c r="M131" s="56"/>
      <c r="N131" s="57" t="s">
        <v>38</v>
      </c>
      <c r="O131" s="57"/>
    </row>
    <row r="132" spans="1:15" s="1" customFormat="1" ht="13.5" customHeight="1">
      <c r="A132" s="28" t="s">
        <v>18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1" customFormat="1" ht="13.5" customHeight="1">
      <c r="A133" s="47" t="s">
        <v>205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s="1" customFormat="1" ht="45.75" customHeight="1">
      <c r="A134" s="48" t="s">
        <v>24</v>
      </c>
      <c r="B134" s="48"/>
      <c r="C134" s="48"/>
      <c r="D134" s="48"/>
      <c r="E134" s="48"/>
      <c r="F134" s="48"/>
      <c r="G134" s="8" t="s">
        <v>25</v>
      </c>
      <c r="H134" s="8" t="s">
        <v>206</v>
      </c>
      <c r="I134" s="9" t="s">
        <v>27</v>
      </c>
      <c r="J134" s="49" t="s">
        <v>28</v>
      </c>
      <c r="K134" s="49"/>
      <c r="L134" s="49"/>
      <c r="M134" s="49"/>
      <c r="N134" s="50" t="s">
        <v>29</v>
      </c>
      <c r="O134" s="50"/>
    </row>
    <row r="135" spans="1:15" s="1" customFormat="1" ht="12.75" customHeight="1">
      <c r="A135" s="51" t="s">
        <v>30</v>
      </c>
      <c r="B135" s="51"/>
      <c r="C135" s="51"/>
      <c r="D135" s="51"/>
      <c r="E135" s="51"/>
      <c r="F135" s="51"/>
      <c r="G135" s="10" t="s">
        <v>31</v>
      </c>
      <c r="H135" s="10" t="s">
        <v>32</v>
      </c>
      <c r="I135" s="11" t="s">
        <v>33</v>
      </c>
      <c r="J135" s="52" t="s">
        <v>34</v>
      </c>
      <c r="K135" s="52"/>
      <c r="L135" s="52"/>
      <c r="M135" s="52"/>
      <c r="N135" s="53" t="s">
        <v>35</v>
      </c>
      <c r="O135" s="53"/>
    </row>
    <row r="136" spans="1:15" s="1" customFormat="1" ht="13.5" customHeight="1">
      <c r="A136" s="42" t="s">
        <v>207</v>
      </c>
      <c r="B136" s="42"/>
      <c r="C136" s="42"/>
      <c r="D136" s="42"/>
      <c r="E136" s="42"/>
      <c r="F136" s="42"/>
      <c r="G136" s="12" t="s">
        <v>208</v>
      </c>
      <c r="H136" s="12" t="s">
        <v>38</v>
      </c>
      <c r="I136" s="20">
        <f>4587575.61</f>
        <v>4587575.61</v>
      </c>
      <c r="J136" s="43">
        <f>-1798628.45</f>
        <v>-1798628.45</v>
      </c>
      <c r="K136" s="43"/>
      <c r="L136" s="43"/>
      <c r="M136" s="43"/>
      <c r="N136" s="44" t="s">
        <v>38</v>
      </c>
      <c r="O136" s="44"/>
    </row>
    <row r="137" spans="1:15" s="1" customFormat="1" ht="13.5" customHeight="1">
      <c r="A137" s="45" t="s">
        <v>209</v>
      </c>
      <c r="B137" s="45"/>
      <c r="C137" s="45"/>
      <c r="D137" s="45"/>
      <c r="E137" s="45"/>
      <c r="F137" s="45"/>
      <c r="G137" s="21" t="s">
        <v>18</v>
      </c>
      <c r="H137" s="21" t="s">
        <v>18</v>
      </c>
      <c r="I137" s="22" t="s">
        <v>18</v>
      </c>
      <c r="J137" s="46" t="s">
        <v>18</v>
      </c>
      <c r="K137" s="46"/>
      <c r="L137" s="46"/>
      <c r="M137" s="46"/>
      <c r="N137" s="41" t="s">
        <v>18</v>
      </c>
      <c r="O137" s="41"/>
    </row>
    <row r="138" spans="1:15" s="1" customFormat="1" ht="13.5" customHeight="1">
      <c r="A138" s="37" t="s">
        <v>210</v>
      </c>
      <c r="B138" s="37"/>
      <c r="C138" s="37"/>
      <c r="D138" s="37"/>
      <c r="E138" s="37"/>
      <c r="F138" s="37"/>
      <c r="G138" s="23" t="s">
        <v>211</v>
      </c>
      <c r="H138" s="14" t="s">
        <v>38</v>
      </c>
      <c r="I138" s="24" t="s">
        <v>43</v>
      </c>
      <c r="J138" s="38" t="s">
        <v>43</v>
      </c>
      <c r="K138" s="38"/>
      <c r="L138" s="38"/>
      <c r="M138" s="38"/>
      <c r="N138" s="39" t="s">
        <v>43</v>
      </c>
      <c r="O138" s="39"/>
    </row>
    <row r="139" spans="1:15" s="1" customFormat="1" ht="13.5" customHeight="1">
      <c r="A139" s="40" t="s">
        <v>18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s="1" customFormat="1" ht="13.5" customHeight="1">
      <c r="A140" s="31" t="s">
        <v>212</v>
      </c>
      <c r="B140" s="31"/>
      <c r="C140" s="31"/>
      <c r="D140" s="31"/>
      <c r="E140" s="31"/>
      <c r="F140" s="31"/>
      <c r="G140" s="21" t="s">
        <v>213</v>
      </c>
      <c r="H140" s="21" t="s">
        <v>38</v>
      </c>
      <c r="I140" s="22" t="s">
        <v>43</v>
      </c>
      <c r="J140" s="34" t="s">
        <v>43</v>
      </c>
      <c r="K140" s="34"/>
      <c r="L140" s="34"/>
      <c r="M140" s="34"/>
      <c r="N140" s="41" t="s">
        <v>43</v>
      </c>
      <c r="O140" s="41"/>
    </row>
    <row r="141" spans="1:15" s="1" customFormat="1" ht="13.5" customHeight="1">
      <c r="A141" s="31" t="s">
        <v>18</v>
      </c>
      <c r="B141" s="31"/>
      <c r="C141" s="31"/>
      <c r="D141" s="31"/>
      <c r="E141" s="31"/>
      <c r="F141" s="31"/>
      <c r="G141" s="16" t="s">
        <v>213</v>
      </c>
      <c r="H141" s="16" t="s">
        <v>18</v>
      </c>
      <c r="I141" s="25" t="s">
        <v>43</v>
      </c>
      <c r="J141" s="34" t="s">
        <v>43</v>
      </c>
      <c r="K141" s="34"/>
      <c r="L141" s="34"/>
      <c r="M141" s="34"/>
      <c r="N141" s="35" t="s">
        <v>43</v>
      </c>
      <c r="O141" s="35"/>
    </row>
    <row r="142" spans="1:15" s="1" customFormat="1" ht="13.5" customHeight="1">
      <c r="A142" s="31" t="s">
        <v>214</v>
      </c>
      <c r="B142" s="31"/>
      <c r="C142" s="31"/>
      <c r="D142" s="31"/>
      <c r="E142" s="31"/>
      <c r="F142" s="31"/>
      <c r="G142" s="16" t="s">
        <v>215</v>
      </c>
      <c r="H142" s="16" t="s">
        <v>216</v>
      </c>
      <c r="I142" s="26">
        <f>4587575.61</f>
        <v>4587575.61</v>
      </c>
      <c r="J142" s="32">
        <f>-1798628.45</f>
        <v>-1798628.45</v>
      </c>
      <c r="K142" s="32"/>
      <c r="L142" s="32"/>
      <c r="M142" s="32"/>
      <c r="N142" s="36">
        <f>6386204.06</f>
        <v>6386204.06</v>
      </c>
      <c r="O142" s="36"/>
    </row>
    <row r="143" spans="1:15" s="1" customFormat="1" ht="13.5" customHeight="1">
      <c r="A143" s="31" t="s">
        <v>217</v>
      </c>
      <c r="B143" s="31"/>
      <c r="C143" s="31"/>
      <c r="D143" s="31"/>
      <c r="E143" s="31"/>
      <c r="F143" s="31"/>
      <c r="G143" s="16" t="s">
        <v>218</v>
      </c>
      <c r="H143" s="16" t="s">
        <v>219</v>
      </c>
      <c r="I143" s="26">
        <f>-78257832.81</f>
        <v>-78257832.81</v>
      </c>
      <c r="J143" s="32">
        <f>-J12</f>
        <v>-50749653.86</v>
      </c>
      <c r="K143" s="32"/>
      <c r="L143" s="32"/>
      <c r="M143" s="32"/>
      <c r="N143" s="33" t="s">
        <v>38</v>
      </c>
      <c r="O143" s="33"/>
    </row>
    <row r="144" spans="1:15" s="1" customFormat="1" ht="13.5" customHeight="1">
      <c r="A144" s="31" t="s">
        <v>220</v>
      </c>
      <c r="B144" s="31"/>
      <c r="C144" s="31"/>
      <c r="D144" s="31"/>
      <c r="E144" s="31"/>
      <c r="F144" s="31"/>
      <c r="G144" s="16" t="s">
        <v>221</v>
      </c>
      <c r="H144" s="16" t="s">
        <v>222</v>
      </c>
      <c r="I144" s="26">
        <f>82845408.42</f>
        <v>82845408.42</v>
      </c>
      <c r="J144" s="32">
        <f>J45</f>
        <v>48951025.41</v>
      </c>
      <c r="K144" s="32"/>
      <c r="L144" s="32"/>
      <c r="M144" s="32"/>
      <c r="N144" s="33" t="s">
        <v>38</v>
      </c>
      <c r="O144" s="33"/>
    </row>
    <row r="145" spans="1:15" s="1" customFormat="1" ht="13.5" customHeight="1">
      <c r="A145" s="27" t="s">
        <v>18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s="1" customFormat="1" ht="15.75" customHeight="1">
      <c r="A146" s="28" t="s">
        <v>18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s="1" customFormat="1" ht="13.5" customHeight="1">
      <c r="A147" s="29"/>
      <c r="B147" s="29"/>
      <c r="C147" s="29"/>
      <c r="D147" s="29"/>
      <c r="E147" s="29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1" customFormat="1" ht="13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</sheetData>
  <sheetProtection/>
  <mergeCells count="41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O132"/>
    <mergeCell ref="A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O139"/>
    <mergeCell ref="A140:F140"/>
    <mergeCell ref="J140:M140"/>
    <mergeCell ref="N140:O140"/>
    <mergeCell ref="N144:O144"/>
    <mergeCell ref="A141:F141"/>
    <mergeCell ref="J141:M141"/>
    <mergeCell ref="N141:O141"/>
    <mergeCell ref="A142:F142"/>
    <mergeCell ref="J142:M142"/>
    <mergeCell ref="N142:O142"/>
    <mergeCell ref="A145:O145"/>
    <mergeCell ref="A146:O146"/>
    <mergeCell ref="A147:E147"/>
    <mergeCell ref="F147:O147"/>
    <mergeCell ref="A148:O148"/>
    <mergeCell ref="A143:F143"/>
    <mergeCell ref="J143:M143"/>
    <mergeCell ref="N143:O143"/>
    <mergeCell ref="A144:F144"/>
    <mergeCell ref="J144:M14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2022-06-03T09:54:00Z</dcterms:created>
  <dcterms:modified xsi:type="dcterms:W3CDTF">2022-06-03T10:09:54Z</dcterms:modified>
  <cp:category/>
  <cp:version/>
  <cp:contentType/>
  <cp:contentStatus/>
</cp:coreProperties>
</file>