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<sst xmlns="http://schemas.openxmlformats.org/spreadsheetml/2006/main" count="575" uniqueCount="236">
  <si>
    <t>ОТЧЕТ ОБ ИСПОЛНЕНИИ БЮДЖЕТА</t>
  </si>
  <si>
    <t>КОДЫ</t>
  </si>
  <si>
    <t xml:space="preserve">Форма по ОКУД </t>
  </si>
  <si>
    <t>0503117</t>
  </si>
  <si>
    <t>на 1 апреля 2014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</si>
  <si>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</si>
  <si>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</si>
  <si>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</si>
  <si>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</si>
  <si>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</si>
  <si>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</si>
  <si>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</si>
  <si>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</si>
  <si>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 Кондинское</t>
  </si>
  <si>
    <t xml:space="preserve">по ОКТМО </t>
  </si>
  <si>
    <t>71816151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</si>
  <si>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</si>
  <si>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</si>
  <si>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</si>
  <si>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</si>
  <si>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</si>
  <si>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</si>
  <si>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</si>
  <si>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</si>
  <si>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</si>
  <si>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</si>
  <si>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</si>
  <si>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</si>
  <si>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</si>
  <si>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</si>
  <si>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</si>
  <si>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</si>
  <si>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</si>
  <si>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</si>
  <si>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</si>
  <si>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</si>
  <si>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</si>
  <si>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</si>
  <si>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</si>
  <si>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</si>
  <si>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</si>
  <si>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</si>
  <si>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</si>
  <si>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</si>
  <si>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</si>
  <si>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</si>
  <si>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</si>
  <si>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</si>
  <si>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</si>
  <si>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</si>
  <si>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</si>
  <si>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</si>
  <si>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</si>
  <si>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</si>
  <si>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</si>
  <si>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</si>
  <si>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</si>
  <si>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</si>
  <si>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</si>
  <si>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</si>
  <si>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</si>
  <si>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</si>
  <si>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</si>
  <si>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</si>
  <si>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</si>
  <si>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</si>
  <si>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</si>
  <si>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</si>
  <si>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</si>
  <si>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</si>
  <si>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Прочие доходы от компенсации затрат бюджетов поселений</t>
  </si>
  <si>
    <t>650 11302995 10 0000 130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</si>
  <si>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</si>
  <si>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</si>
  <si>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поселений</t>
  </si>
  <si>
    <t>650 11701050 10 0000 180</t>
  </si>
  <si>
    <t>Дотации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</si>
  <si>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</si>
  <si>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</si>
  <si>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</si>
  <si>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</si>
  <si>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</si>
  <si>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</si>
  <si>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</si>
  <si>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Субвенции бюджетам поселений на выполнение передаваемых полномочий субъектов Российской Федерации</t>
  </si>
  <si>
    <t>650 20203024 10 0000 151</t>
  </si>
  <si>
    <t>Межбюджетные трансферты, передаваемые бюджетам поселений на реализацию дополнительных мероприятий в сфере занятости населения</t>
  </si>
  <si>
    <t>650 20204029 10 0000 151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</si>
  <si>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</si>
  <si>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</si>
  <si>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</si>
  <si>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</si>
  <si>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</si>
  <si>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</si>
  <si>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</si>
  <si>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</si>
  <si>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</si>
  <si>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</si>
  <si>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</si>
  <si>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</si>
  <si>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</si>
  <si>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</si>
  <si>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</si>
  <si>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</si>
  <si>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</si>
  <si>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</si>
  <si>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</si>
  <si>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</si>
  <si>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</si>
  <si>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</si>
  <si>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650 0113 0110240 244 226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</si>
  <si>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</si>
  <si>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</si>
  <si>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</si>
  <si>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</si>
  <si>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</si>
  <si>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</si>
  <si>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</si>
  <si>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Работы, услуги по содержанию имущества</t>
  </si>
  <si>
    <t>650 0113 6000059 244 225</t>
  </si>
  <si>
    <t>650 0113 6000059 244 226</t>
  </si>
  <si>
    <t>Увеличение стоимости материальных запасов</t>
  </si>
  <si>
    <t>650 0113 6000059 244 340</t>
  </si>
  <si>
    <t>650 0113 6000059 852 290</t>
  </si>
  <si>
    <t>650 0113 6000204 540 251</t>
  </si>
  <si>
    <t>650 0113 6000240 122 212</t>
  </si>
  <si>
    <t>650 0113 6000240 244 221</t>
  </si>
  <si>
    <t>Коммунальные услуги</t>
  </si>
  <si>
    <t>650 0113 6000240 244 223</t>
  </si>
  <si>
    <t>650 0113 6000240 244 225</t>
  </si>
  <si>
    <t>650 0113 6000240 244 226</t>
  </si>
  <si>
    <t>650 0113 6000240 244 340</t>
  </si>
  <si>
    <t>650 0113 6000240 852 290</t>
  </si>
  <si>
    <t>650 0203 6005118 121 211</t>
  </si>
  <si>
    <t>650 0203 6005118 121 213</t>
  </si>
  <si>
    <t>650 0203 6005118 242 221</t>
  </si>
  <si>
    <t>650 0203 6005118 244 223</t>
  </si>
  <si>
    <t>650 0203 6005118 244 225</t>
  </si>
  <si>
    <t>650 0203 6005118 244 226</t>
  </si>
  <si>
    <t>650 0203 6005118 244 340</t>
  </si>
  <si>
    <t>650 0304 6005119 121 211</t>
  </si>
  <si>
    <t>650 0304 6005119 121 213</t>
  </si>
  <si>
    <t>650 0304 6005119 244 221</t>
  </si>
  <si>
    <t>650 0304 6005119 244 222</t>
  </si>
  <si>
    <t>650 0304 6005119 244 226</t>
  </si>
  <si>
    <t>Увеличение стоимости основных средств</t>
  </si>
  <si>
    <t>650 0304 6005119 244 310</t>
  </si>
  <si>
    <t>650 0304 6005119 244 340</t>
  </si>
  <si>
    <t>650 0304 6005519 244 310</t>
  </si>
  <si>
    <t>650 0304 6005519 244 340</t>
  </si>
  <si>
    <t>650 0304 6005930 121 211</t>
  </si>
  <si>
    <t>650 0304 6005930 121 213</t>
  </si>
  <si>
    <t>650 0304 6005930 244 221</t>
  </si>
  <si>
    <t>650 0304 6005930 244 222</t>
  </si>
  <si>
    <t>650 0304 6005930 244 226</t>
  </si>
  <si>
    <t>650 0304 6005930 244 310</t>
  </si>
  <si>
    <t>650 0304 6005930 244 340</t>
  </si>
  <si>
    <t>650 0304 6005931 244 310</t>
  </si>
  <si>
    <t>650 0304 6005931 244 340</t>
  </si>
  <si>
    <t>650 0314 0227402 244 225</t>
  </si>
  <si>
    <t>650 0314 0227402 244 226</t>
  </si>
  <si>
    <t>650 0314 6005414 244 340</t>
  </si>
  <si>
    <t>650 0314 6006414 244 340</t>
  </si>
  <si>
    <t>650 0401 6005604 244 226</t>
  </si>
  <si>
    <t>650 0401 6005683 244 226</t>
  </si>
  <si>
    <t>Безвозмездные перечисления организациям, за исключением государственных и муниципальных организаций</t>
  </si>
  <si>
    <t>650 0408 6000303 810 242</t>
  </si>
  <si>
    <t>650 0409 0317403 244 225</t>
  </si>
  <si>
    <t>650 0409 0327403 244 225</t>
  </si>
  <si>
    <t>650 0409 0327403 244 310</t>
  </si>
  <si>
    <t>650 0409 0327403 244 340</t>
  </si>
  <si>
    <t>650 0409 0337419 244 225</t>
  </si>
  <si>
    <t>650 0410 6000240 242 221</t>
  </si>
  <si>
    <t>650 0410 6000240 242 226</t>
  </si>
  <si>
    <t>650 0501 0407404 244 226</t>
  </si>
  <si>
    <t>650 0501 6000352 243 225</t>
  </si>
  <si>
    <t>650 0502 6000351 810 242</t>
  </si>
  <si>
    <t>650 0502 6005411 540 251</t>
  </si>
  <si>
    <t>650 0502 6005521 530 251</t>
  </si>
  <si>
    <t>650 0502 6006411 540 251</t>
  </si>
  <si>
    <t>650 0503 0510610 244 225</t>
  </si>
  <si>
    <t>650 0503 0520640 244 225</t>
  </si>
  <si>
    <t>650 0503 0540650 244 225</t>
  </si>
  <si>
    <t>650 0503 0550650 244 225</t>
  </si>
  <si>
    <t>650 0505 6000204 540 251</t>
  </si>
  <si>
    <t>650 0707 0620059 244 290</t>
  </si>
  <si>
    <t>650 0707 0620059 244 340</t>
  </si>
  <si>
    <t>650 0707 4319900 111 213</t>
  </si>
  <si>
    <t>650 0707 6000059 111 211</t>
  </si>
  <si>
    <t>650 0707 6000059 111 213</t>
  </si>
  <si>
    <t>650 0707 6000059 112 212</t>
  </si>
  <si>
    <t>650 0801 6000059 111 211</t>
  </si>
  <si>
    <t>650 0801 6000059 111 213</t>
  </si>
  <si>
    <t>650 0801 6000059 112 212</t>
  </si>
  <si>
    <t>650 0801 6000059 242 221</t>
  </si>
  <si>
    <t>650 0801 6000059 244 221</t>
  </si>
  <si>
    <t>650 0801 6000059 244 222</t>
  </si>
  <si>
    <t>650 0801 6000059 244 223</t>
  </si>
  <si>
    <t>650 0801 6000059 244 225</t>
  </si>
  <si>
    <t>650 0801 6000059 244 226</t>
  </si>
  <si>
    <t>650 0801 6000059 244 340</t>
  </si>
  <si>
    <t>650 0801 6000059 852 290</t>
  </si>
  <si>
    <t>650 0804 0610059 244 226</t>
  </si>
  <si>
    <t>650 0804 0610059 244 290</t>
  </si>
  <si>
    <t>Пенсии, пособия, выплачиваемые организациями сектора государственного управления</t>
  </si>
  <si>
    <t>650 1001 0120022 321 263</t>
  </si>
  <si>
    <t>650 1101 0637004 244 225</t>
  </si>
  <si>
    <t>650 1101 0637004 244 290</t>
  </si>
  <si>
    <t>650 1101 0637004 244 340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</si>
  <si>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</si>
  <si>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</si>
  <si>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</si>
  <si>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</si>
  <si>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</si>
  <si>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</si>
  <si>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</si>
  <si>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</si>
  <si>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</si>
  <si>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</si>
  <si>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</si>
  <si>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</si>
  <si>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</si>
  <si>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</si>
  <si>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</si>
  <si>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</si>
  <si>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</si>
  <si>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</si>
  <si>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</si>
  <si>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</si>
  <si>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</si>
  <si>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 апреля 2014 г.   </t>
  </si>
  <si>
    <t>Форма 0503117 с.1</t>
  </si>
  <si>
    <t>Глава городского поселения Кондинское</t>
  </si>
  <si>
    <t>С.А.Дерябин</t>
  </si>
  <si>
    <t>Начальник отдела финансов и экономической политики</t>
  </si>
  <si>
    <t>О.Г.Михайлова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</si>
</sst>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5" xfId="0" applyNumberFormat="1" applyAlignment="1">
      <alignment horizontal="center" vertical="center" wrapText="1"/>
    </xf>
    <xf numFmtId="0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right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right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21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5" fillId="2" borderId="0" xfId="0" applyNumberFormat="1" applyAlignment="1">
      <alignment horizontal="right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23" xfId="0" applyNumberFormat="1" applyAlignment="1">
      <alignment horizontal="right" vertical="center" wrapText="1"/>
    </xf>
    <xf numFmtId="0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15" xfId="0" applyNumberFormat="1" applyAlignment="1">
      <alignment horizontal="left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10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6" xfId="0" applyNumberFormat="1" applyAlignment="1">
      <alignment horizontal="center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21" xfId="0" applyNumberFormat="1" applyAlignment="1">
      <alignment horizontal="right" vertical="center" wrapText="1"/>
    </xf>
    <xf numFmtId="0" fontId="7" fillId="2" borderId="29" xfId="0" applyNumberFormat="1" applyAlignment="1">
      <alignment horizontal="center" wrapText="1"/>
    </xf>
    <xf numFmtId="4" fontId="5" fillId="2" borderId="10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0" fontId="6" fillId="2" borderId="31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  <xf numFmtId="0" fontId="0" fillId="0" borderId="32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workbookViewId="0" topLeftCell="A125">
      <selection activeCell="D169" sqref="D16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 t="s">
        <v>1</v>
      </c>
    </row>
    <row r="2" spans="1:15" s="1" customFormat="1" ht="13.5" customHeight="1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" t="s">
        <v>3</v>
      </c>
    </row>
    <row r="3" spans="1:15" s="1" customFormat="1" ht="13.5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7" t="s">
        <v>5</v>
      </c>
      <c r="N3" s="37"/>
      <c r="O3" s="4">
        <v>41730</v>
      </c>
    </row>
    <row r="4" spans="1:15" s="1" customFormat="1" ht="13.5" customHeight="1">
      <c r="A4" s="35" t="s">
        <v>6</v>
      </c>
      <c r="B4" s="35"/>
      <c r="C4" s="35"/>
      <c r="D4" s="64" t="s">
        <v>7</v>
      </c>
      <c r="E4" s="64"/>
      <c r="F4" s="64"/>
      <c r="G4" s="64"/>
      <c r="H4" s="64"/>
      <c r="I4" s="64"/>
      <c r="J4" s="64"/>
      <c r="K4" s="64"/>
      <c r="L4" s="37" t="s">
        <v>8</v>
      </c>
      <c r="M4" s="37"/>
      <c r="N4" s="37"/>
      <c r="O4" s="6" t="s">
        <v>10</v>
      </c>
    </row>
    <row r="5" spans="1:15" s="1" customFormat="1" ht="13.5" customHeight="1">
      <c r="A5" s="35"/>
      <c r="B5" s="35"/>
      <c r="C5" s="35"/>
      <c r="D5" s="64"/>
      <c r="E5" s="64"/>
      <c r="F5" s="64"/>
      <c r="G5" s="64"/>
      <c r="H5" s="64"/>
      <c r="I5" s="64"/>
      <c r="J5" s="64"/>
      <c r="K5" s="64"/>
      <c r="L5" s="37" t="s">
        <v>9</v>
      </c>
      <c r="M5" s="37"/>
      <c r="N5" s="37"/>
      <c r="O5" s="6" t="s">
        <v>11</v>
      </c>
    </row>
    <row r="6" spans="1:15" s="1" customFormat="1" ht="13.5" customHeight="1">
      <c r="A6" s="35" t="s">
        <v>12</v>
      </c>
      <c r="B6" s="35"/>
      <c r="C6" s="35"/>
      <c r="D6" s="35"/>
      <c r="E6" s="64" t="s">
        <v>13</v>
      </c>
      <c r="F6" s="64"/>
      <c r="G6" s="64"/>
      <c r="H6" s="64"/>
      <c r="I6" s="64"/>
      <c r="J6" s="64"/>
      <c r="K6" s="64"/>
      <c r="L6" s="37" t="s">
        <v>14</v>
      </c>
      <c r="M6" s="37"/>
      <c r="N6" s="37"/>
      <c r="O6" s="6" t="s">
        <v>15</v>
      </c>
    </row>
    <row r="7" spans="1:15" s="1" customFormat="1" ht="13.5" customHeight="1">
      <c r="A7" s="5" t="s">
        <v>16</v>
      </c>
      <c r="B7" s="35" t="s">
        <v>17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6" t="s">
        <v>18</v>
      </c>
    </row>
    <row r="8" spans="1:15" s="1" customFormat="1" ht="13.5" customHeight="1">
      <c r="A8" s="35" t="s">
        <v>19</v>
      </c>
      <c r="B8" s="35"/>
      <c r="C8" s="35" t="s">
        <v>20</v>
      </c>
      <c r="D8" s="35"/>
      <c r="E8" s="35"/>
      <c r="F8" s="35"/>
      <c r="G8" s="35"/>
      <c r="H8" s="35"/>
      <c r="I8" s="35"/>
      <c r="J8" s="35"/>
      <c r="K8" s="37" t="s">
        <v>21</v>
      </c>
      <c r="L8" s="37"/>
      <c r="M8" s="37"/>
      <c r="N8" s="37"/>
      <c r="O8" s="7" t="s">
        <v>22</v>
      </c>
    </row>
    <row r="9" spans="1:15" s="1" customFormat="1" ht="13.5" customHeight="1">
      <c r="A9" s="52" t="s">
        <v>23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1" customFormat="1" ht="34.5" customHeight="1">
      <c r="A10" s="53" t="s">
        <v>24</v>
      </c>
      <c r="B10" s="53"/>
      <c r="C10" s="53"/>
      <c r="D10" s="53"/>
      <c r="E10" s="53"/>
      <c r="F10" s="53"/>
      <c r="G10" s="8" t="s">
        <v>25</v>
      </c>
      <c r="H10" s="8" t="s">
        <v>26</v>
      </c>
      <c r="I10" s="9" t="s">
        <v>27</v>
      </c>
      <c r="J10" s="54" t="s">
        <v>28</v>
      </c>
      <c r="K10" s="54"/>
      <c r="L10" s="54"/>
      <c r="M10" s="54"/>
      <c r="N10" s="55" t="s">
        <v>29</v>
      </c>
      <c r="O10" s="55"/>
    </row>
    <row r="11" spans="1:15" s="1" customFormat="1" ht="12.75" customHeight="1">
      <c r="A11" s="30" t="s">
        <v>30</v>
      </c>
      <c r="B11" s="30"/>
      <c r="C11" s="30"/>
      <c r="D11" s="30"/>
      <c r="E11" s="30"/>
      <c r="F11" s="30"/>
      <c r="G11" s="10" t="s">
        <v>31</v>
      </c>
      <c r="H11" s="10" t="s">
        <v>32</v>
      </c>
      <c r="I11" s="11" t="s">
        <v>33</v>
      </c>
      <c r="J11" s="31" t="s">
        <v>34</v>
      </c>
      <c r="K11" s="31"/>
      <c r="L11" s="31"/>
      <c r="M11" s="31"/>
      <c r="N11" s="32" t="s">
        <v>35</v>
      </c>
      <c r="O11" s="32"/>
    </row>
    <row r="12" spans="1:15" s="1" customFormat="1" ht="13.5" customHeight="1">
      <c r="A12" s="33" t="s">
        <v>36</v>
      </c>
      <c r="B12" s="33"/>
      <c r="C12" s="33"/>
      <c r="D12" s="33"/>
      <c r="E12" s="33"/>
      <c r="F12" s="33"/>
      <c r="G12" s="12" t="s">
        <v>37</v>
      </c>
      <c r="H12" s="12" t="s">
        <v>38</v>
      </c>
      <c r="I12" s="13">
        <f>44084423</f>
        <v>44084423</v>
      </c>
      <c r="J12" s="34">
        <f>7800936.34</f>
        <v>7800936.34</v>
      </c>
      <c r="K12" s="34"/>
      <c r="L12" s="34"/>
      <c r="M12" s="34"/>
      <c r="N12" s="60">
        <f>36283486.66</f>
        <v>36283486.66</v>
      </c>
      <c r="O12" s="60"/>
    </row>
    <row r="13" spans="1:15" s="1" customFormat="1" ht="45" customHeight="1">
      <c r="A13" s="49" t="s">
        <v>39</v>
      </c>
      <c r="B13" s="49"/>
      <c r="C13" s="49"/>
      <c r="D13" s="49"/>
      <c r="E13" s="49"/>
      <c r="F13" s="49"/>
      <c r="G13" s="14" t="s">
        <v>37</v>
      </c>
      <c r="H13" s="14" t="s">
        <v>40</v>
      </c>
      <c r="I13" s="15">
        <f>300000</f>
        <v>300000</v>
      </c>
      <c r="J13" s="62">
        <f>35056.79</f>
        <v>35056.79</v>
      </c>
      <c r="K13" s="62"/>
      <c r="L13" s="62"/>
      <c r="M13" s="62"/>
      <c r="N13" s="63">
        <f>264943.21</f>
        <v>264943.21</v>
      </c>
      <c r="O13" s="63"/>
    </row>
    <row r="14" spans="1:15" s="1" customFormat="1" ht="24" customHeight="1">
      <c r="A14" s="49" t="s">
        <v>41</v>
      </c>
      <c r="B14" s="49"/>
      <c r="C14" s="49"/>
      <c r="D14" s="49"/>
      <c r="E14" s="49"/>
      <c r="F14" s="49"/>
      <c r="G14" s="14" t="s">
        <v>37</v>
      </c>
      <c r="H14" s="14" t="s">
        <v>42</v>
      </c>
      <c r="I14" s="15">
        <f>28000</f>
        <v>28000</v>
      </c>
      <c r="J14" s="62">
        <f>15361.28</f>
        <v>15361.28</v>
      </c>
      <c r="K14" s="62"/>
      <c r="L14" s="62"/>
      <c r="M14" s="62"/>
      <c r="N14" s="63">
        <f>12638.72</f>
        <v>12638.72</v>
      </c>
      <c r="O14" s="63"/>
    </row>
    <row r="15" spans="1:15" s="1" customFormat="1" ht="45" customHeight="1">
      <c r="A15" s="49" t="s">
        <v>43</v>
      </c>
      <c r="B15" s="49"/>
      <c r="C15" s="49"/>
      <c r="D15" s="49"/>
      <c r="E15" s="49"/>
      <c r="F15" s="49"/>
      <c r="G15" s="14" t="s">
        <v>37</v>
      </c>
      <c r="H15" s="14" t="s">
        <v>44</v>
      </c>
      <c r="I15" s="15">
        <f>3856300</f>
        <v>3856300</v>
      </c>
      <c r="J15" s="62">
        <f>769441.33</f>
        <v>769441.33</v>
      </c>
      <c r="K15" s="62"/>
      <c r="L15" s="62"/>
      <c r="M15" s="62"/>
      <c r="N15" s="63">
        <f>3086858.67</f>
        <v>3086858.67</v>
      </c>
      <c r="O15" s="63"/>
    </row>
    <row r="16" spans="1:15" s="1" customFormat="1" ht="66" customHeight="1">
      <c r="A16" s="49" t="s">
        <v>45</v>
      </c>
      <c r="B16" s="49"/>
      <c r="C16" s="49"/>
      <c r="D16" s="49"/>
      <c r="E16" s="49"/>
      <c r="F16" s="49"/>
      <c r="G16" s="14" t="s">
        <v>37</v>
      </c>
      <c r="H16" s="14" t="s">
        <v>46</v>
      </c>
      <c r="I16" s="15">
        <f>2000</f>
        <v>2000</v>
      </c>
      <c r="J16" s="50" t="s">
        <v>47</v>
      </c>
      <c r="K16" s="50"/>
      <c r="L16" s="50"/>
      <c r="M16" s="50"/>
      <c r="N16" s="63">
        <f>2000</f>
        <v>2000</v>
      </c>
      <c r="O16" s="63"/>
    </row>
    <row r="17" spans="1:15" s="1" customFormat="1" ht="24" customHeight="1">
      <c r="A17" s="49" t="s">
        <v>48</v>
      </c>
      <c r="B17" s="49"/>
      <c r="C17" s="49"/>
      <c r="D17" s="49"/>
      <c r="E17" s="49"/>
      <c r="F17" s="49"/>
      <c r="G17" s="14" t="s">
        <v>37</v>
      </c>
      <c r="H17" s="14" t="s">
        <v>49</v>
      </c>
      <c r="I17" s="15">
        <f>20000</f>
        <v>20000</v>
      </c>
      <c r="J17" s="62">
        <f>101.71</f>
        <v>101.71</v>
      </c>
      <c r="K17" s="62"/>
      <c r="L17" s="62"/>
      <c r="M17" s="62"/>
      <c r="N17" s="63">
        <f>19898.29</f>
        <v>19898.29</v>
      </c>
      <c r="O17" s="63"/>
    </row>
    <row r="18" spans="1:15" s="1" customFormat="1" ht="13.5" customHeight="1">
      <c r="A18" s="49" t="s">
        <v>50</v>
      </c>
      <c r="B18" s="49"/>
      <c r="C18" s="49"/>
      <c r="D18" s="49"/>
      <c r="E18" s="49"/>
      <c r="F18" s="49"/>
      <c r="G18" s="14" t="s">
        <v>37</v>
      </c>
      <c r="H18" s="14" t="s">
        <v>51</v>
      </c>
      <c r="I18" s="15">
        <f>897300</f>
        <v>897300</v>
      </c>
      <c r="J18" s="62">
        <f>153069.59</f>
        <v>153069.59</v>
      </c>
      <c r="K18" s="62"/>
      <c r="L18" s="62"/>
      <c r="M18" s="62"/>
      <c r="N18" s="63">
        <f>744230.41</f>
        <v>744230.41</v>
      </c>
      <c r="O18" s="63"/>
    </row>
    <row r="19" spans="1:15" s="1" customFormat="1" ht="24" customHeight="1">
      <c r="A19" s="49" t="s">
        <v>52</v>
      </c>
      <c r="B19" s="49"/>
      <c r="C19" s="49"/>
      <c r="D19" s="49"/>
      <c r="E19" s="49"/>
      <c r="F19" s="49"/>
      <c r="G19" s="14" t="s">
        <v>37</v>
      </c>
      <c r="H19" s="14" t="s">
        <v>53</v>
      </c>
      <c r="I19" s="16" t="s">
        <v>47</v>
      </c>
      <c r="J19" s="62">
        <f>20.52</f>
        <v>20.52</v>
      </c>
      <c r="K19" s="62"/>
      <c r="L19" s="62"/>
      <c r="M19" s="62"/>
      <c r="N19" s="63">
        <f>0</f>
        <v>0</v>
      </c>
      <c r="O19" s="63"/>
    </row>
    <row r="20" spans="1:15" s="1" customFormat="1" ht="13.5" customHeight="1">
      <c r="A20" s="49" t="s">
        <v>54</v>
      </c>
      <c r="B20" s="49"/>
      <c r="C20" s="49"/>
      <c r="D20" s="49"/>
      <c r="E20" s="49"/>
      <c r="F20" s="49"/>
      <c r="G20" s="14" t="s">
        <v>37</v>
      </c>
      <c r="H20" s="14" t="s">
        <v>55</v>
      </c>
      <c r="I20" s="15">
        <f>78600</f>
        <v>78600</v>
      </c>
      <c r="J20" s="62">
        <f>16469</f>
        <v>16469</v>
      </c>
      <c r="K20" s="62"/>
      <c r="L20" s="62"/>
      <c r="M20" s="62"/>
      <c r="N20" s="63">
        <f>62131</f>
        <v>62131</v>
      </c>
      <c r="O20" s="63"/>
    </row>
    <row r="21" spans="1:15" s="1" customFormat="1" ht="24" customHeight="1">
      <c r="A21" s="49" t="s">
        <v>56</v>
      </c>
      <c r="B21" s="49"/>
      <c r="C21" s="49"/>
      <c r="D21" s="49"/>
      <c r="E21" s="49"/>
      <c r="F21" s="49"/>
      <c r="G21" s="14" t="s">
        <v>37</v>
      </c>
      <c r="H21" s="14" t="s">
        <v>57</v>
      </c>
      <c r="I21" s="15">
        <f>572400</f>
        <v>572400</v>
      </c>
      <c r="J21" s="62">
        <f>41627.53</f>
        <v>41627.53</v>
      </c>
      <c r="K21" s="62"/>
      <c r="L21" s="62"/>
      <c r="M21" s="62"/>
      <c r="N21" s="63">
        <f>530772.47</f>
        <v>530772.47</v>
      </c>
      <c r="O21" s="63"/>
    </row>
    <row r="22" spans="1:15" s="1" customFormat="1" ht="45" customHeight="1">
      <c r="A22" s="49" t="s">
        <v>58</v>
      </c>
      <c r="B22" s="49"/>
      <c r="C22" s="49"/>
      <c r="D22" s="49"/>
      <c r="E22" s="49"/>
      <c r="F22" s="49"/>
      <c r="G22" s="14" t="s">
        <v>37</v>
      </c>
      <c r="H22" s="14" t="s">
        <v>59</v>
      </c>
      <c r="I22" s="15">
        <f>100000</f>
        <v>100000</v>
      </c>
      <c r="J22" s="62">
        <f>10640.21</f>
        <v>10640.21</v>
      </c>
      <c r="K22" s="62"/>
      <c r="L22" s="62"/>
      <c r="M22" s="62"/>
      <c r="N22" s="63">
        <f>89359.79</f>
        <v>89359.79</v>
      </c>
      <c r="O22" s="63"/>
    </row>
    <row r="23" spans="1:15" s="1" customFormat="1" ht="45" customHeight="1">
      <c r="A23" s="49" t="s">
        <v>60</v>
      </c>
      <c r="B23" s="49"/>
      <c r="C23" s="49"/>
      <c r="D23" s="49"/>
      <c r="E23" s="49"/>
      <c r="F23" s="49"/>
      <c r="G23" s="14" t="s">
        <v>37</v>
      </c>
      <c r="H23" s="14" t="s">
        <v>61</v>
      </c>
      <c r="I23" s="15">
        <f>708500</f>
        <v>708500</v>
      </c>
      <c r="J23" s="62">
        <f>223262.56</f>
        <v>223262.56</v>
      </c>
      <c r="K23" s="62"/>
      <c r="L23" s="62"/>
      <c r="M23" s="62"/>
      <c r="N23" s="63">
        <f>485237.44</f>
        <v>485237.44</v>
      </c>
      <c r="O23" s="63"/>
    </row>
    <row r="24" spans="1:15" s="1" customFormat="1" ht="45" customHeight="1">
      <c r="A24" s="49" t="s">
        <v>62</v>
      </c>
      <c r="B24" s="49"/>
      <c r="C24" s="49"/>
      <c r="D24" s="49"/>
      <c r="E24" s="49"/>
      <c r="F24" s="49"/>
      <c r="G24" s="14" t="s">
        <v>37</v>
      </c>
      <c r="H24" s="14" t="s">
        <v>63</v>
      </c>
      <c r="I24" s="15">
        <f>105000</f>
        <v>105000</v>
      </c>
      <c r="J24" s="62">
        <f>37290</f>
        <v>37290</v>
      </c>
      <c r="K24" s="62"/>
      <c r="L24" s="62"/>
      <c r="M24" s="62"/>
      <c r="N24" s="63">
        <f>67710</f>
        <v>67710</v>
      </c>
      <c r="O24" s="63"/>
    </row>
    <row r="25" spans="1:15" s="1" customFormat="1" ht="33.75" customHeight="1">
      <c r="A25" s="49" t="s">
        <v>64</v>
      </c>
      <c r="B25" s="49"/>
      <c r="C25" s="49"/>
      <c r="D25" s="49"/>
      <c r="E25" s="49"/>
      <c r="F25" s="49"/>
      <c r="G25" s="14" t="s">
        <v>37</v>
      </c>
      <c r="H25" s="14" t="s">
        <v>65</v>
      </c>
      <c r="I25" s="15">
        <f>1327000</f>
        <v>1327000</v>
      </c>
      <c r="J25" s="62">
        <f>427668.64</f>
        <v>427668.64</v>
      </c>
      <c r="K25" s="62"/>
      <c r="L25" s="62"/>
      <c r="M25" s="62"/>
      <c r="N25" s="63">
        <f>899331.36</f>
        <v>899331.36</v>
      </c>
      <c r="O25" s="63"/>
    </row>
    <row r="26" spans="1:15" s="1" customFormat="1" ht="45" customHeight="1">
      <c r="A26" s="49" t="s">
        <v>66</v>
      </c>
      <c r="B26" s="49"/>
      <c r="C26" s="49"/>
      <c r="D26" s="49"/>
      <c r="E26" s="49"/>
      <c r="F26" s="49"/>
      <c r="G26" s="14" t="s">
        <v>37</v>
      </c>
      <c r="H26" s="14" t="s">
        <v>67</v>
      </c>
      <c r="I26" s="15">
        <f>710000</f>
        <v>710000</v>
      </c>
      <c r="J26" s="62">
        <f>131835.46</f>
        <v>131835.46</v>
      </c>
      <c r="K26" s="62"/>
      <c r="L26" s="62"/>
      <c r="M26" s="62"/>
      <c r="N26" s="63">
        <f>578164.54</f>
        <v>578164.54</v>
      </c>
      <c r="O26" s="63"/>
    </row>
    <row r="27" spans="1:15" s="1" customFormat="1" ht="24" customHeight="1">
      <c r="A27" s="49" t="s">
        <v>68</v>
      </c>
      <c r="B27" s="49"/>
      <c r="C27" s="49"/>
      <c r="D27" s="49"/>
      <c r="E27" s="49"/>
      <c r="F27" s="49"/>
      <c r="G27" s="14" t="s">
        <v>37</v>
      </c>
      <c r="H27" s="14" t="s">
        <v>69</v>
      </c>
      <c r="I27" s="15">
        <f>300000</f>
        <v>300000</v>
      </c>
      <c r="J27" s="62">
        <f>53519.2</f>
        <v>53519.2</v>
      </c>
      <c r="K27" s="62"/>
      <c r="L27" s="62"/>
      <c r="M27" s="62"/>
      <c r="N27" s="63">
        <f>246480.8</f>
        <v>246480.8</v>
      </c>
      <c r="O27" s="63"/>
    </row>
    <row r="28" spans="1:15" s="1" customFormat="1" ht="13.5" customHeight="1">
      <c r="A28" s="49" t="s">
        <v>70</v>
      </c>
      <c r="B28" s="49"/>
      <c r="C28" s="49"/>
      <c r="D28" s="49"/>
      <c r="E28" s="49"/>
      <c r="F28" s="49"/>
      <c r="G28" s="14" t="s">
        <v>37</v>
      </c>
      <c r="H28" s="14" t="s">
        <v>71</v>
      </c>
      <c r="I28" s="16" t="s">
        <v>47</v>
      </c>
      <c r="J28" s="62">
        <f>37061.99</f>
        <v>37061.99</v>
      </c>
      <c r="K28" s="62"/>
      <c r="L28" s="62"/>
      <c r="M28" s="62"/>
      <c r="N28" s="63">
        <f>0</f>
        <v>0</v>
      </c>
      <c r="O28" s="63"/>
    </row>
    <row r="29" spans="1:15" s="1" customFormat="1" ht="54.75" customHeight="1">
      <c r="A29" s="49" t="s">
        <v>72</v>
      </c>
      <c r="B29" s="49"/>
      <c r="C29" s="49"/>
      <c r="D29" s="49"/>
      <c r="E29" s="49"/>
      <c r="F29" s="49"/>
      <c r="G29" s="14" t="s">
        <v>37</v>
      </c>
      <c r="H29" s="14" t="s">
        <v>73</v>
      </c>
      <c r="I29" s="16" t="s">
        <v>47</v>
      </c>
      <c r="J29" s="62">
        <f>17600</f>
        <v>17600</v>
      </c>
      <c r="K29" s="62"/>
      <c r="L29" s="62"/>
      <c r="M29" s="62"/>
      <c r="N29" s="63">
        <f>0</f>
        <v>0</v>
      </c>
      <c r="O29" s="63"/>
    </row>
    <row r="30" spans="1:15" s="1" customFormat="1" ht="13.5" customHeight="1">
      <c r="A30" s="49" t="s">
        <v>74</v>
      </c>
      <c r="B30" s="49"/>
      <c r="C30" s="49"/>
      <c r="D30" s="49"/>
      <c r="E30" s="49"/>
      <c r="F30" s="49"/>
      <c r="G30" s="14" t="s">
        <v>37</v>
      </c>
      <c r="H30" s="14" t="s">
        <v>75</v>
      </c>
      <c r="I30" s="16" t="s">
        <v>47</v>
      </c>
      <c r="J30" s="62">
        <f>0</f>
        <v>0</v>
      </c>
      <c r="K30" s="62"/>
      <c r="L30" s="62"/>
      <c r="M30" s="62"/>
      <c r="N30" s="63">
        <f>0</f>
        <v>0</v>
      </c>
      <c r="O30" s="63"/>
    </row>
    <row r="31" spans="1:15" s="1" customFormat="1" ht="13.5" customHeight="1">
      <c r="A31" s="49" t="s">
        <v>76</v>
      </c>
      <c r="B31" s="49"/>
      <c r="C31" s="49"/>
      <c r="D31" s="49"/>
      <c r="E31" s="49"/>
      <c r="F31" s="49"/>
      <c r="G31" s="14" t="s">
        <v>37</v>
      </c>
      <c r="H31" s="14" t="s">
        <v>77</v>
      </c>
      <c r="I31" s="15">
        <f>25668300</f>
        <v>25668300</v>
      </c>
      <c r="J31" s="62">
        <f>5133620</f>
        <v>5133620</v>
      </c>
      <c r="K31" s="62"/>
      <c r="L31" s="62"/>
      <c r="M31" s="62"/>
      <c r="N31" s="63">
        <f>20534680</f>
        <v>20534680</v>
      </c>
      <c r="O31" s="63"/>
    </row>
    <row r="32" spans="1:15" s="1" customFormat="1" ht="24" customHeight="1">
      <c r="A32" s="49" t="s">
        <v>78</v>
      </c>
      <c r="B32" s="49"/>
      <c r="C32" s="49"/>
      <c r="D32" s="49"/>
      <c r="E32" s="49"/>
      <c r="F32" s="49"/>
      <c r="G32" s="14" t="s">
        <v>37</v>
      </c>
      <c r="H32" s="14" t="s">
        <v>79</v>
      </c>
      <c r="I32" s="15">
        <f>853100</f>
        <v>853100</v>
      </c>
      <c r="J32" s="50" t="s">
        <v>47</v>
      </c>
      <c r="K32" s="50"/>
      <c r="L32" s="50"/>
      <c r="M32" s="50"/>
      <c r="N32" s="63">
        <f>853100</f>
        <v>853100</v>
      </c>
      <c r="O32" s="63"/>
    </row>
    <row r="33" spans="1:15" s="1" customFormat="1" ht="24" customHeight="1">
      <c r="A33" s="49" t="s">
        <v>80</v>
      </c>
      <c r="B33" s="49"/>
      <c r="C33" s="49"/>
      <c r="D33" s="49"/>
      <c r="E33" s="49"/>
      <c r="F33" s="49"/>
      <c r="G33" s="14" t="s">
        <v>37</v>
      </c>
      <c r="H33" s="14" t="s">
        <v>81</v>
      </c>
      <c r="I33" s="15">
        <f>135000</f>
        <v>135000</v>
      </c>
      <c r="J33" s="62">
        <f>108751</f>
        <v>108751</v>
      </c>
      <c r="K33" s="62"/>
      <c r="L33" s="62"/>
      <c r="M33" s="62"/>
      <c r="N33" s="63">
        <f>26249</f>
        <v>26249</v>
      </c>
      <c r="O33" s="63"/>
    </row>
    <row r="34" spans="1:15" s="1" customFormat="1" ht="24" customHeight="1">
      <c r="A34" s="49" t="s">
        <v>82</v>
      </c>
      <c r="B34" s="49"/>
      <c r="C34" s="49"/>
      <c r="D34" s="49"/>
      <c r="E34" s="49"/>
      <c r="F34" s="49"/>
      <c r="G34" s="14" t="s">
        <v>37</v>
      </c>
      <c r="H34" s="14" t="s">
        <v>83</v>
      </c>
      <c r="I34" s="15">
        <f>788000</f>
        <v>788000</v>
      </c>
      <c r="J34" s="50" t="s">
        <v>47</v>
      </c>
      <c r="K34" s="50"/>
      <c r="L34" s="50"/>
      <c r="M34" s="50"/>
      <c r="N34" s="63">
        <f>788000</f>
        <v>788000</v>
      </c>
      <c r="O34" s="63"/>
    </row>
    <row r="35" spans="1:15" s="1" customFormat="1" ht="24" customHeight="1">
      <c r="A35" s="49" t="s">
        <v>84</v>
      </c>
      <c r="B35" s="49"/>
      <c r="C35" s="49"/>
      <c r="D35" s="49"/>
      <c r="E35" s="49"/>
      <c r="F35" s="49"/>
      <c r="G35" s="14" t="s">
        <v>37</v>
      </c>
      <c r="H35" s="14" t="s">
        <v>85</v>
      </c>
      <c r="I35" s="15">
        <f>4040920</f>
        <v>4040920</v>
      </c>
      <c r="J35" s="62">
        <f>0</f>
        <v>0</v>
      </c>
      <c r="K35" s="62"/>
      <c r="L35" s="62"/>
      <c r="M35" s="62"/>
      <c r="N35" s="63">
        <f>4040920</f>
        <v>4040920</v>
      </c>
      <c r="O35" s="63"/>
    </row>
    <row r="36" spans="1:15" s="1" customFormat="1" ht="24" customHeight="1">
      <c r="A36" s="49" t="s">
        <v>86</v>
      </c>
      <c r="B36" s="49"/>
      <c r="C36" s="49"/>
      <c r="D36" s="49"/>
      <c r="E36" s="49"/>
      <c r="F36" s="49"/>
      <c r="G36" s="14" t="s">
        <v>37</v>
      </c>
      <c r="H36" s="14" t="s">
        <v>87</v>
      </c>
      <c r="I36" s="15">
        <f>47727</f>
        <v>47727</v>
      </c>
      <c r="J36" s="62">
        <f>12633.53</f>
        <v>12633.53</v>
      </c>
      <c r="K36" s="62"/>
      <c r="L36" s="62"/>
      <c r="M36" s="62"/>
      <c r="N36" s="63">
        <f>35093.47</f>
        <v>35093.47</v>
      </c>
      <c r="O36" s="63"/>
    </row>
    <row r="37" spans="1:15" s="1" customFormat="1" ht="13.5" customHeight="1">
      <c r="A37" s="49" t="s">
        <v>88</v>
      </c>
      <c r="B37" s="49"/>
      <c r="C37" s="49"/>
      <c r="D37" s="49"/>
      <c r="E37" s="49"/>
      <c r="F37" s="49"/>
      <c r="G37" s="14" t="s">
        <v>37</v>
      </c>
      <c r="H37" s="14" t="s">
        <v>89</v>
      </c>
      <c r="I37" s="15">
        <f>3546276</f>
        <v>3546276</v>
      </c>
      <c r="J37" s="62">
        <f>575906</f>
        <v>575906</v>
      </c>
      <c r="K37" s="62"/>
      <c r="L37" s="62"/>
      <c r="M37" s="62"/>
      <c r="N37" s="63">
        <f>2970370</f>
        <v>2970370</v>
      </c>
      <c r="O37" s="63"/>
    </row>
    <row r="38" spans="1:15" s="1" customFormat="1" ht="13.5" customHeight="1">
      <c r="A38" s="61" t="s">
        <v>18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1:15" s="1" customFormat="1" ht="13.5" customHeight="1">
      <c r="A39" s="52" t="s">
        <v>90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s="1" customFormat="1" ht="34.5" customHeight="1">
      <c r="A40" s="53" t="s">
        <v>24</v>
      </c>
      <c r="B40" s="53"/>
      <c r="C40" s="53"/>
      <c r="D40" s="53"/>
      <c r="E40" s="53"/>
      <c r="F40" s="53"/>
      <c r="G40" s="8" t="s">
        <v>25</v>
      </c>
      <c r="H40" s="8" t="s">
        <v>91</v>
      </c>
      <c r="I40" s="9" t="s">
        <v>27</v>
      </c>
      <c r="J40" s="54" t="s">
        <v>28</v>
      </c>
      <c r="K40" s="54"/>
      <c r="L40" s="54"/>
      <c r="M40" s="54"/>
      <c r="N40" s="55" t="s">
        <v>29</v>
      </c>
      <c r="O40" s="55"/>
    </row>
    <row r="41" spans="1:15" s="1" customFormat="1" ht="13.5" customHeight="1">
      <c r="A41" s="30" t="s">
        <v>30</v>
      </c>
      <c r="B41" s="30"/>
      <c r="C41" s="30"/>
      <c r="D41" s="30"/>
      <c r="E41" s="30"/>
      <c r="F41" s="30"/>
      <c r="G41" s="10" t="s">
        <v>31</v>
      </c>
      <c r="H41" s="10" t="s">
        <v>32</v>
      </c>
      <c r="I41" s="11" t="s">
        <v>33</v>
      </c>
      <c r="J41" s="31" t="s">
        <v>34</v>
      </c>
      <c r="K41" s="31"/>
      <c r="L41" s="31"/>
      <c r="M41" s="31"/>
      <c r="N41" s="32" t="s">
        <v>35</v>
      </c>
      <c r="O41" s="32"/>
    </row>
    <row r="42" spans="1:15" s="1" customFormat="1" ht="13.5" customHeight="1">
      <c r="A42" s="33" t="s">
        <v>92</v>
      </c>
      <c r="B42" s="33"/>
      <c r="C42" s="33"/>
      <c r="D42" s="33"/>
      <c r="E42" s="33"/>
      <c r="F42" s="33"/>
      <c r="G42" s="12" t="s">
        <v>93</v>
      </c>
      <c r="H42" s="12" t="s">
        <v>38</v>
      </c>
      <c r="I42" s="13">
        <f>47992145.4</f>
        <v>47992145.4</v>
      </c>
      <c r="J42" s="34">
        <f>8096243.13</f>
        <v>8096243.13</v>
      </c>
      <c r="K42" s="34"/>
      <c r="L42" s="34"/>
      <c r="M42" s="34"/>
      <c r="N42" s="60">
        <f>39895902.27</f>
        <v>39895902.27</v>
      </c>
      <c r="O42" s="60"/>
    </row>
    <row r="43" spans="1:15" s="1" customFormat="1" ht="13.5" customHeight="1">
      <c r="A43" s="38" t="s">
        <v>94</v>
      </c>
      <c r="B43" s="38"/>
      <c r="C43" s="38"/>
      <c r="D43" s="38"/>
      <c r="E43" s="38"/>
      <c r="F43" s="38"/>
      <c r="G43" s="17" t="s">
        <v>93</v>
      </c>
      <c r="H43" s="17" t="s">
        <v>95</v>
      </c>
      <c r="I43" s="18">
        <f>1294000</f>
        <v>1294000</v>
      </c>
      <c r="J43" s="39">
        <f>243982.86</f>
        <v>243982.86</v>
      </c>
      <c r="K43" s="39"/>
      <c r="L43" s="39"/>
      <c r="M43" s="39"/>
      <c r="N43" s="59">
        <f>1050017.14</f>
        <v>1050017.14</v>
      </c>
      <c r="O43" s="59"/>
    </row>
    <row r="44" spans="1:15" s="1" customFormat="1" ht="13.5" customHeight="1">
      <c r="A44" s="38" t="s">
        <v>96</v>
      </c>
      <c r="B44" s="38"/>
      <c r="C44" s="38"/>
      <c r="D44" s="38"/>
      <c r="E44" s="38"/>
      <c r="F44" s="38"/>
      <c r="G44" s="17" t="s">
        <v>93</v>
      </c>
      <c r="H44" s="17" t="s">
        <v>97</v>
      </c>
      <c r="I44" s="18">
        <f>256000</f>
        <v>256000</v>
      </c>
      <c r="J44" s="39">
        <f>67736.78</f>
        <v>67736.78</v>
      </c>
      <c r="K44" s="39"/>
      <c r="L44" s="39"/>
      <c r="M44" s="39"/>
      <c r="N44" s="59">
        <f>188263.22</f>
        <v>188263.22</v>
      </c>
      <c r="O44" s="59"/>
    </row>
    <row r="45" spans="1:15" s="1" customFormat="1" ht="13.5" customHeight="1">
      <c r="A45" s="38" t="s">
        <v>94</v>
      </c>
      <c r="B45" s="38"/>
      <c r="C45" s="38"/>
      <c r="D45" s="38"/>
      <c r="E45" s="38"/>
      <c r="F45" s="38"/>
      <c r="G45" s="17" t="s">
        <v>93</v>
      </c>
      <c r="H45" s="17" t="s">
        <v>98</v>
      </c>
      <c r="I45" s="18">
        <f>8651200</f>
        <v>8651200</v>
      </c>
      <c r="J45" s="39">
        <f>1874349.55</f>
        <v>1874349.55</v>
      </c>
      <c r="K45" s="39"/>
      <c r="L45" s="39"/>
      <c r="M45" s="39"/>
      <c r="N45" s="59">
        <f>6776850.45</f>
        <v>6776850.45</v>
      </c>
      <c r="O45" s="59"/>
    </row>
    <row r="46" spans="1:15" s="1" customFormat="1" ht="13.5" customHeight="1">
      <c r="A46" s="38" t="s">
        <v>96</v>
      </c>
      <c r="B46" s="38"/>
      <c r="C46" s="38"/>
      <c r="D46" s="38"/>
      <c r="E46" s="38"/>
      <c r="F46" s="38"/>
      <c r="G46" s="17" t="s">
        <v>93</v>
      </c>
      <c r="H46" s="17" t="s">
        <v>99</v>
      </c>
      <c r="I46" s="18">
        <f>2450000</f>
        <v>2450000</v>
      </c>
      <c r="J46" s="39">
        <f>482007.84</f>
        <v>482007.84</v>
      </c>
      <c r="K46" s="39"/>
      <c r="L46" s="39"/>
      <c r="M46" s="39"/>
      <c r="N46" s="59">
        <f>1967992.16</f>
        <v>1967992.16</v>
      </c>
      <c r="O46" s="59"/>
    </row>
    <row r="47" spans="1:15" s="1" customFormat="1" ht="13.5" customHeight="1">
      <c r="A47" s="38" t="s">
        <v>100</v>
      </c>
      <c r="B47" s="38"/>
      <c r="C47" s="38"/>
      <c r="D47" s="38"/>
      <c r="E47" s="38"/>
      <c r="F47" s="38"/>
      <c r="G47" s="17" t="s">
        <v>93</v>
      </c>
      <c r="H47" s="17" t="s">
        <v>101</v>
      </c>
      <c r="I47" s="18">
        <f>75000</f>
        <v>75000</v>
      </c>
      <c r="J47" s="39">
        <f>2000</f>
        <v>2000</v>
      </c>
      <c r="K47" s="39"/>
      <c r="L47" s="39"/>
      <c r="M47" s="39"/>
      <c r="N47" s="59">
        <f>73000</f>
        <v>73000</v>
      </c>
      <c r="O47" s="59"/>
    </row>
    <row r="48" spans="1:15" s="1" customFormat="1" ht="13.5" customHeight="1">
      <c r="A48" s="38" t="s">
        <v>102</v>
      </c>
      <c r="B48" s="38"/>
      <c r="C48" s="38"/>
      <c r="D48" s="38"/>
      <c r="E48" s="38"/>
      <c r="F48" s="38"/>
      <c r="G48" s="17" t="s">
        <v>93</v>
      </c>
      <c r="H48" s="17" t="s">
        <v>103</v>
      </c>
      <c r="I48" s="18">
        <f>103400</f>
        <v>103400</v>
      </c>
      <c r="J48" s="43" t="s">
        <v>47</v>
      </c>
      <c r="K48" s="43"/>
      <c r="L48" s="43"/>
      <c r="M48" s="43"/>
      <c r="N48" s="59">
        <f>103400</f>
        <v>103400</v>
      </c>
      <c r="O48" s="59"/>
    </row>
    <row r="49" spans="1:15" s="1" customFormat="1" ht="13.5" customHeight="1">
      <c r="A49" s="38" t="s">
        <v>104</v>
      </c>
      <c r="B49" s="38"/>
      <c r="C49" s="38"/>
      <c r="D49" s="38"/>
      <c r="E49" s="38"/>
      <c r="F49" s="38"/>
      <c r="G49" s="17" t="s">
        <v>93</v>
      </c>
      <c r="H49" s="17" t="s">
        <v>105</v>
      </c>
      <c r="I49" s="18">
        <f>100000</f>
        <v>100000</v>
      </c>
      <c r="J49" s="39">
        <f>4180</f>
        <v>4180</v>
      </c>
      <c r="K49" s="39"/>
      <c r="L49" s="39"/>
      <c r="M49" s="39"/>
      <c r="N49" s="59">
        <f>95820</f>
        <v>95820</v>
      </c>
      <c r="O49" s="59"/>
    </row>
    <row r="50" spans="1:15" s="1" customFormat="1" ht="13.5" customHeight="1">
      <c r="A50" s="38" t="s">
        <v>106</v>
      </c>
      <c r="B50" s="38"/>
      <c r="C50" s="38"/>
      <c r="D50" s="38"/>
      <c r="E50" s="38"/>
      <c r="F50" s="38"/>
      <c r="G50" s="17" t="s">
        <v>93</v>
      </c>
      <c r="H50" s="17" t="s">
        <v>107</v>
      </c>
      <c r="I50" s="18">
        <f>98111</f>
        <v>98111</v>
      </c>
      <c r="J50" s="39">
        <f>24527.75</f>
        <v>24527.75</v>
      </c>
      <c r="K50" s="39"/>
      <c r="L50" s="39"/>
      <c r="M50" s="39"/>
      <c r="N50" s="59">
        <f>73583.25</f>
        <v>73583.25</v>
      </c>
      <c r="O50" s="59"/>
    </row>
    <row r="51" spans="1:15" s="1" customFormat="1" ht="13.5" customHeight="1">
      <c r="A51" s="38" t="s">
        <v>108</v>
      </c>
      <c r="B51" s="38"/>
      <c r="C51" s="38"/>
      <c r="D51" s="38"/>
      <c r="E51" s="38"/>
      <c r="F51" s="38"/>
      <c r="G51" s="17" t="s">
        <v>93</v>
      </c>
      <c r="H51" s="17" t="s">
        <v>109</v>
      </c>
      <c r="I51" s="18">
        <f>220000</f>
        <v>220000</v>
      </c>
      <c r="J51" s="43" t="s">
        <v>47</v>
      </c>
      <c r="K51" s="43"/>
      <c r="L51" s="43"/>
      <c r="M51" s="43"/>
      <c r="N51" s="59">
        <f>220000</f>
        <v>220000</v>
      </c>
      <c r="O51" s="59"/>
    </row>
    <row r="52" spans="1:15" s="1" customFormat="1" ht="13.5" customHeight="1">
      <c r="A52" s="38" t="s">
        <v>104</v>
      </c>
      <c r="B52" s="38"/>
      <c r="C52" s="38"/>
      <c r="D52" s="38"/>
      <c r="E52" s="38"/>
      <c r="F52" s="38"/>
      <c r="G52" s="17" t="s">
        <v>93</v>
      </c>
      <c r="H52" s="17" t="s">
        <v>110</v>
      </c>
      <c r="I52" s="18">
        <f>70000</f>
        <v>70000</v>
      </c>
      <c r="J52" s="39">
        <f>3864</f>
        <v>3864</v>
      </c>
      <c r="K52" s="39"/>
      <c r="L52" s="39"/>
      <c r="M52" s="39"/>
      <c r="N52" s="59">
        <f>66136</f>
        <v>66136</v>
      </c>
      <c r="O52" s="59"/>
    </row>
    <row r="53" spans="1:15" s="1" customFormat="1" ht="13.5" customHeight="1">
      <c r="A53" s="38" t="s">
        <v>94</v>
      </c>
      <c r="B53" s="38"/>
      <c r="C53" s="38"/>
      <c r="D53" s="38"/>
      <c r="E53" s="38"/>
      <c r="F53" s="38"/>
      <c r="G53" s="17" t="s">
        <v>93</v>
      </c>
      <c r="H53" s="17" t="s">
        <v>111</v>
      </c>
      <c r="I53" s="18">
        <f>3850000</f>
        <v>3850000</v>
      </c>
      <c r="J53" s="39">
        <f>228963.03</f>
        <v>228963.03</v>
      </c>
      <c r="K53" s="39"/>
      <c r="L53" s="39"/>
      <c r="M53" s="39"/>
      <c r="N53" s="59">
        <f>3621036.97</f>
        <v>3621036.97</v>
      </c>
      <c r="O53" s="59"/>
    </row>
    <row r="54" spans="1:15" s="1" customFormat="1" ht="13.5" customHeight="1">
      <c r="A54" s="38" t="s">
        <v>96</v>
      </c>
      <c r="B54" s="38"/>
      <c r="C54" s="38"/>
      <c r="D54" s="38"/>
      <c r="E54" s="38"/>
      <c r="F54" s="38"/>
      <c r="G54" s="17" t="s">
        <v>93</v>
      </c>
      <c r="H54" s="17" t="s">
        <v>112</v>
      </c>
      <c r="I54" s="18">
        <f>1162700</f>
        <v>1162700</v>
      </c>
      <c r="J54" s="39">
        <f>62669.86</f>
        <v>62669.86</v>
      </c>
      <c r="K54" s="39"/>
      <c r="L54" s="39"/>
      <c r="M54" s="39"/>
      <c r="N54" s="59">
        <f>1100030.14</f>
        <v>1100030.14</v>
      </c>
      <c r="O54" s="59"/>
    </row>
    <row r="55" spans="1:15" s="1" customFormat="1" ht="13.5" customHeight="1">
      <c r="A55" s="38" t="s">
        <v>100</v>
      </c>
      <c r="B55" s="38"/>
      <c r="C55" s="38"/>
      <c r="D55" s="38"/>
      <c r="E55" s="38"/>
      <c r="F55" s="38"/>
      <c r="G55" s="17" t="s">
        <v>93</v>
      </c>
      <c r="H55" s="17" t="s">
        <v>113</v>
      </c>
      <c r="I55" s="18">
        <f>32200</f>
        <v>32200</v>
      </c>
      <c r="J55" s="43" t="s">
        <v>47</v>
      </c>
      <c r="K55" s="43"/>
      <c r="L55" s="43"/>
      <c r="M55" s="43"/>
      <c r="N55" s="59">
        <f>32200</f>
        <v>32200</v>
      </c>
      <c r="O55" s="59"/>
    </row>
    <row r="56" spans="1:15" s="1" customFormat="1" ht="13.5" customHeight="1">
      <c r="A56" s="38" t="s">
        <v>114</v>
      </c>
      <c r="B56" s="38"/>
      <c r="C56" s="38"/>
      <c r="D56" s="38"/>
      <c r="E56" s="38"/>
      <c r="F56" s="38"/>
      <c r="G56" s="17" t="s">
        <v>93</v>
      </c>
      <c r="H56" s="17" t="s">
        <v>115</v>
      </c>
      <c r="I56" s="18">
        <f>12000</f>
        <v>12000</v>
      </c>
      <c r="J56" s="43" t="s">
        <v>47</v>
      </c>
      <c r="K56" s="43"/>
      <c r="L56" s="43"/>
      <c r="M56" s="43"/>
      <c r="N56" s="59">
        <f>12000</f>
        <v>12000</v>
      </c>
      <c r="O56" s="59"/>
    </row>
    <row r="57" spans="1:15" s="1" customFormat="1" ht="13.5" customHeight="1">
      <c r="A57" s="38" t="s">
        <v>114</v>
      </c>
      <c r="B57" s="38"/>
      <c r="C57" s="38"/>
      <c r="D57" s="38"/>
      <c r="E57" s="38"/>
      <c r="F57" s="38"/>
      <c r="G57" s="17" t="s">
        <v>93</v>
      </c>
      <c r="H57" s="17" t="s">
        <v>116</v>
      </c>
      <c r="I57" s="18">
        <f>2000</f>
        <v>2000</v>
      </c>
      <c r="J57" s="43" t="s">
        <v>47</v>
      </c>
      <c r="K57" s="43"/>
      <c r="L57" s="43"/>
      <c r="M57" s="43"/>
      <c r="N57" s="59">
        <f>2000</f>
        <v>2000</v>
      </c>
      <c r="O57" s="59"/>
    </row>
    <row r="58" spans="1:15" s="1" customFormat="1" ht="13.5" customHeight="1">
      <c r="A58" s="38" t="s">
        <v>102</v>
      </c>
      <c r="B58" s="38"/>
      <c r="C58" s="38"/>
      <c r="D58" s="38"/>
      <c r="E58" s="38"/>
      <c r="F58" s="38"/>
      <c r="G58" s="17" t="s">
        <v>93</v>
      </c>
      <c r="H58" s="17" t="s">
        <v>117</v>
      </c>
      <c r="I58" s="18">
        <f>19060</f>
        <v>19060</v>
      </c>
      <c r="J58" s="43" t="s">
        <v>47</v>
      </c>
      <c r="K58" s="43"/>
      <c r="L58" s="43"/>
      <c r="M58" s="43"/>
      <c r="N58" s="59">
        <f>19060</f>
        <v>19060</v>
      </c>
      <c r="O58" s="59"/>
    </row>
    <row r="59" spans="1:15" s="1" customFormat="1" ht="13.5" customHeight="1">
      <c r="A59" s="38" t="s">
        <v>118</v>
      </c>
      <c r="B59" s="38"/>
      <c r="C59" s="38"/>
      <c r="D59" s="38"/>
      <c r="E59" s="38"/>
      <c r="F59" s="38"/>
      <c r="G59" s="17" t="s">
        <v>93</v>
      </c>
      <c r="H59" s="17" t="s">
        <v>119</v>
      </c>
      <c r="I59" s="18">
        <f>14500</f>
        <v>14500</v>
      </c>
      <c r="J59" s="43" t="s">
        <v>47</v>
      </c>
      <c r="K59" s="43"/>
      <c r="L59" s="43"/>
      <c r="M59" s="43"/>
      <c r="N59" s="59">
        <f>14500</f>
        <v>14500</v>
      </c>
      <c r="O59" s="59"/>
    </row>
    <row r="60" spans="1:15" s="1" customFormat="1" ht="13.5" customHeight="1">
      <c r="A60" s="38" t="s">
        <v>104</v>
      </c>
      <c r="B60" s="38"/>
      <c r="C60" s="38"/>
      <c r="D60" s="38"/>
      <c r="E60" s="38"/>
      <c r="F60" s="38"/>
      <c r="G60" s="17" t="s">
        <v>93</v>
      </c>
      <c r="H60" s="17" t="s">
        <v>120</v>
      </c>
      <c r="I60" s="18">
        <f>66900</f>
        <v>66900</v>
      </c>
      <c r="J60" s="39">
        <f>5700</f>
        <v>5700</v>
      </c>
      <c r="K60" s="39"/>
      <c r="L60" s="39"/>
      <c r="M60" s="39"/>
      <c r="N60" s="59">
        <f>61200</f>
        <v>61200</v>
      </c>
      <c r="O60" s="59"/>
    </row>
    <row r="61" spans="1:15" s="1" customFormat="1" ht="13.5" customHeight="1">
      <c r="A61" s="38" t="s">
        <v>121</v>
      </c>
      <c r="B61" s="38"/>
      <c r="C61" s="38"/>
      <c r="D61" s="38"/>
      <c r="E61" s="38"/>
      <c r="F61" s="38"/>
      <c r="G61" s="17" t="s">
        <v>93</v>
      </c>
      <c r="H61" s="17" t="s">
        <v>122</v>
      </c>
      <c r="I61" s="18">
        <f>120000</f>
        <v>120000</v>
      </c>
      <c r="J61" s="43" t="s">
        <v>47</v>
      </c>
      <c r="K61" s="43"/>
      <c r="L61" s="43"/>
      <c r="M61" s="43"/>
      <c r="N61" s="59">
        <f>120000</f>
        <v>120000</v>
      </c>
      <c r="O61" s="59"/>
    </row>
    <row r="62" spans="1:15" s="1" customFormat="1" ht="13.5" customHeight="1">
      <c r="A62" s="38" t="s">
        <v>108</v>
      </c>
      <c r="B62" s="38"/>
      <c r="C62" s="38"/>
      <c r="D62" s="38"/>
      <c r="E62" s="38"/>
      <c r="F62" s="38"/>
      <c r="G62" s="17" t="s">
        <v>93</v>
      </c>
      <c r="H62" s="17" t="s">
        <v>123</v>
      </c>
      <c r="I62" s="18">
        <f>35000</f>
        <v>35000</v>
      </c>
      <c r="J62" s="43" t="s">
        <v>47</v>
      </c>
      <c r="K62" s="43"/>
      <c r="L62" s="43"/>
      <c r="M62" s="43"/>
      <c r="N62" s="59">
        <f>35000</f>
        <v>35000</v>
      </c>
      <c r="O62" s="59"/>
    </row>
    <row r="63" spans="1:15" s="1" customFormat="1" ht="13.5" customHeight="1">
      <c r="A63" s="38" t="s">
        <v>106</v>
      </c>
      <c r="B63" s="38"/>
      <c r="C63" s="38"/>
      <c r="D63" s="38"/>
      <c r="E63" s="38"/>
      <c r="F63" s="38"/>
      <c r="G63" s="17" t="s">
        <v>93</v>
      </c>
      <c r="H63" s="17" t="s">
        <v>124</v>
      </c>
      <c r="I63" s="18">
        <f>12260</f>
        <v>12260</v>
      </c>
      <c r="J63" s="39">
        <f>3065</f>
        <v>3065</v>
      </c>
      <c r="K63" s="39"/>
      <c r="L63" s="39"/>
      <c r="M63" s="39"/>
      <c r="N63" s="59">
        <f>9195</f>
        <v>9195</v>
      </c>
      <c r="O63" s="59"/>
    </row>
    <row r="64" spans="1:15" s="1" customFormat="1" ht="13.5" customHeight="1">
      <c r="A64" s="38" t="s">
        <v>100</v>
      </c>
      <c r="B64" s="38"/>
      <c r="C64" s="38"/>
      <c r="D64" s="38"/>
      <c r="E64" s="38"/>
      <c r="F64" s="38"/>
      <c r="G64" s="17" t="s">
        <v>93</v>
      </c>
      <c r="H64" s="17" t="s">
        <v>125</v>
      </c>
      <c r="I64" s="18">
        <f>250000</f>
        <v>250000</v>
      </c>
      <c r="J64" s="43" t="s">
        <v>47</v>
      </c>
      <c r="K64" s="43"/>
      <c r="L64" s="43"/>
      <c r="M64" s="43"/>
      <c r="N64" s="59">
        <f>250000</f>
        <v>250000</v>
      </c>
      <c r="O64" s="59"/>
    </row>
    <row r="65" spans="1:15" s="1" customFormat="1" ht="13.5" customHeight="1">
      <c r="A65" s="38" t="s">
        <v>114</v>
      </c>
      <c r="B65" s="38"/>
      <c r="C65" s="38"/>
      <c r="D65" s="38"/>
      <c r="E65" s="38"/>
      <c r="F65" s="38"/>
      <c r="G65" s="17" t="s">
        <v>93</v>
      </c>
      <c r="H65" s="17" t="s">
        <v>126</v>
      </c>
      <c r="I65" s="18">
        <f>24000</f>
        <v>24000</v>
      </c>
      <c r="J65" s="39">
        <f>3999.55</f>
        <v>3999.55</v>
      </c>
      <c r="K65" s="39"/>
      <c r="L65" s="39"/>
      <c r="M65" s="39"/>
      <c r="N65" s="59">
        <f>20000.45</f>
        <v>20000.45</v>
      </c>
      <c r="O65" s="59"/>
    </row>
    <row r="66" spans="1:15" s="1" customFormat="1" ht="13.5" customHeight="1">
      <c r="A66" s="38" t="s">
        <v>127</v>
      </c>
      <c r="B66" s="38"/>
      <c r="C66" s="38"/>
      <c r="D66" s="38"/>
      <c r="E66" s="38"/>
      <c r="F66" s="38"/>
      <c r="G66" s="17" t="s">
        <v>93</v>
      </c>
      <c r="H66" s="17" t="s">
        <v>128</v>
      </c>
      <c r="I66" s="18">
        <f>1100000</f>
        <v>1100000</v>
      </c>
      <c r="J66" s="39">
        <f>388892.63</f>
        <v>388892.63</v>
      </c>
      <c r="K66" s="39"/>
      <c r="L66" s="39"/>
      <c r="M66" s="39"/>
      <c r="N66" s="59">
        <f>711107.37</f>
        <v>711107.37</v>
      </c>
      <c r="O66" s="59"/>
    </row>
    <row r="67" spans="1:15" s="1" customFormat="1" ht="13.5" customHeight="1">
      <c r="A67" s="38" t="s">
        <v>118</v>
      </c>
      <c r="B67" s="38"/>
      <c r="C67" s="38"/>
      <c r="D67" s="38"/>
      <c r="E67" s="38"/>
      <c r="F67" s="38"/>
      <c r="G67" s="17" t="s">
        <v>93</v>
      </c>
      <c r="H67" s="17" t="s">
        <v>129</v>
      </c>
      <c r="I67" s="18">
        <f>70000</f>
        <v>70000</v>
      </c>
      <c r="J67" s="39">
        <f>5694.36</f>
        <v>5694.36</v>
      </c>
      <c r="K67" s="39"/>
      <c r="L67" s="39"/>
      <c r="M67" s="39"/>
      <c r="N67" s="59">
        <f>64305.64</f>
        <v>64305.64</v>
      </c>
      <c r="O67" s="59"/>
    </row>
    <row r="68" spans="1:15" s="1" customFormat="1" ht="13.5" customHeight="1">
      <c r="A68" s="38" t="s">
        <v>104</v>
      </c>
      <c r="B68" s="38"/>
      <c r="C68" s="38"/>
      <c r="D68" s="38"/>
      <c r="E68" s="38"/>
      <c r="F68" s="38"/>
      <c r="G68" s="17" t="s">
        <v>93</v>
      </c>
      <c r="H68" s="17" t="s">
        <v>130</v>
      </c>
      <c r="I68" s="18">
        <f>151000</f>
        <v>151000</v>
      </c>
      <c r="J68" s="39">
        <f>26977.88</f>
        <v>26977.88</v>
      </c>
      <c r="K68" s="39"/>
      <c r="L68" s="39"/>
      <c r="M68" s="39"/>
      <c r="N68" s="59">
        <f>124022.12</f>
        <v>124022.12</v>
      </c>
      <c r="O68" s="59"/>
    </row>
    <row r="69" spans="1:15" s="1" customFormat="1" ht="13.5" customHeight="1">
      <c r="A69" s="38" t="s">
        <v>121</v>
      </c>
      <c r="B69" s="38"/>
      <c r="C69" s="38"/>
      <c r="D69" s="38"/>
      <c r="E69" s="38"/>
      <c r="F69" s="38"/>
      <c r="G69" s="17" t="s">
        <v>93</v>
      </c>
      <c r="H69" s="17" t="s">
        <v>131</v>
      </c>
      <c r="I69" s="18">
        <f>280384.36</f>
        <v>280384.36</v>
      </c>
      <c r="J69" s="39">
        <f>112130.17</f>
        <v>112130.17</v>
      </c>
      <c r="K69" s="39"/>
      <c r="L69" s="39"/>
      <c r="M69" s="39"/>
      <c r="N69" s="59">
        <f>168254.19</f>
        <v>168254.19</v>
      </c>
      <c r="O69" s="59"/>
    </row>
    <row r="70" spans="1:15" s="1" customFormat="1" ht="13.5" customHeight="1">
      <c r="A70" s="38" t="s">
        <v>108</v>
      </c>
      <c r="B70" s="38"/>
      <c r="C70" s="38"/>
      <c r="D70" s="38"/>
      <c r="E70" s="38"/>
      <c r="F70" s="38"/>
      <c r="G70" s="17" t="s">
        <v>93</v>
      </c>
      <c r="H70" s="17" t="s">
        <v>132</v>
      </c>
      <c r="I70" s="18">
        <f>200000</f>
        <v>200000</v>
      </c>
      <c r="J70" s="39">
        <f>23990.54</f>
        <v>23990.54</v>
      </c>
      <c r="K70" s="39"/>
      <c r="L70" s="39"/>
      <c r="M70" s="39"/>
      <c r="N70" s="59">
        <f>176009.46</f>
        <v>176009.46</v>
      </c>
      <c r="O70" s="59"/>
    </row>
    <row r="71" spans="1:15" s="1" customFormat="1" ht="13.5" customHeight="1">
      <c r="A71" s="38" t="s">
        <v>94</v>
      </c>
      <c r="B71" s="38"/>
      <c r="C71" s="38"/>
      <c r="D71" s="38"/>
      <c r="E71" s="38"/>
      <c r="F71" s="38"/>
      <c r="G71" s="17" t="s">
        <v>93</v>
      </c>
      <c r="H71" s="17" t="s">
        <v>133</v>
      </c>
      <c r="I71" s="18">
        <f>540000</f>
        <v>540000</v>
      </c>
      <c r="J71" s="43" t="s">
        <v>47</v>
      </c>
      <c r="K71" s="43"/>
      <c r="L71" s="43"/>
      <c r="M71" s="43"/>
      <c r="N71" s="59">
        <f>540000</f>
        <v>540000</v>
      </c>
      <c r="O71" s="59"/>
    </row>
    <row r="72" spans="1:15" s="1" customFormat="1" ht="13.5" customHeight="1">
      <c r="A72" s="38" t="s">
        <v>96</v>
      </c>
      <c r="B72" s="38"/>
      <c r="C72" s="38"/>
      <c r="D72" s="38"/>
      <c r="E72" s="38"/>
      <c r="F72" s="38"/>
      <c r="G72" s="17" t="s">
        <v>93</v>
      </c>
      <c r="H72" s="17" t="s">
        <v>134</v>
      </c>
      <c r="I72" s="18">
        <f>163000</f>
        <v>163000</v>
      </c>
      <c r="J72" s="43" t="s">
        <v>47</v>
      </c>
      <c r="K72" s="43"/>
      <c r="L72" s="43"/>
      <c r="M72" s="43"/>
      <c r="N72" s="59">
        <f>163000</f>
        <v>163000</v>
      </c>
      <c r="O72" s="59"/>
    </row>
    <row r="73" spans="1:15" s="1" customFormat="1" ht="13.5" customHeight="1">
      <c r="A73" s="38" t="s">
        <v>114</v>
      </c>
      <c r="B73" s="38"/>
      <c r="C73" s="38"/>
      <c r="D73" s="38"/>
      <c r="E73" s="38"/>
      <c r="F73" s="38"/>
      <c r="G73" s="17" t="s">
        <v>93</v>
      </c>
      <c r="H73" s="17" t="s">
        <v>135</v>
      </c>
      <c r="I73" s="18">
        <f>17000</f>
        <v>17000</v>
      </c>
      <c r="J73" s="43" t="s">
        <v>47</v>
      </c>
      <c r="K73" s="43"/>
      <c r="L73" s="43"/>
      <c r="M73" s="43"/>
      <c r="N73" s="59">
        <f>17000</f>
        <v>17000</v>
      </c>
      <c r="O73" s="59"/>
    </row>
    <row r="74" spans="1:15" s="1" customFormat="1" ht="13.5" customHeight="1">
      <c r="A74" s="38" t="s">
        <v>127</v>
      </c>
      <c r="B74" s="38"/>
      <c r="C74" s="38"/>
      <c r="D74" s="38"/>
      <c r="E74" s="38"/>
      <c r="F74" s="38"/>
      <c r="G74" s="17" t="s">
        <v>93</v>
      </c>
      <c r="H74" s="17" t="s">
        <v>136</v>
      </c>
      <c r="I74" s="18">
        <f>35000</f>
        <v>35000</v>
      </c>
      <c r="J74" s="43" t="s">
        <v>47</v>
      </c>
      <c r="K74" s="43"/>
      <c r="L74" s="43"/>
      <c r="M74" s="43"/>
      <c r="N74" s="59">
        <f>35000</f>
        <v>35000</v>
      </c>
      <c r="O74" s="59"/>
    </row>
    <row r="75" spans="1:15" s="1" customFormat="1" ht="13.5" customHeight="1">
      <c r="A75" s="38" t="s">
        <v>118</v>
      </c>
      <c r="B75" s="38"/>
      <c r="C75" s="38"/>
      <c r="D75" s="38"/>
      <c r="E75" s="38"/>
      <c r="F75" s="38"/>
      <c r="G75" s="17" t="s">
        <v>93</v>
      </c>
      <c r="H75" s="17" t="s">
        <v>137</v>
      </c>
      <c r="I75" s="18">
        <f>3000</f>
        <v>3000</v>
      </c>
      <c r="J75" s="43" t="s">
        <v>47</v>
      </c>
      <c r="K75" s="43"/>
      <c r="L75" s="43"/>
      <c r="M75" s="43"/>
      <c r="N75" s="59">
        <f>3000</f>
        <v>3000</v>
      </c>
      <c r="O75" s="59"/>
    </row>
    <row r="76" spans="1:15" s="1" customFormat="1" ht="13.5" customHeight="1">
      <c r="A76" s="38" t="s">
        <v>104</v>
      </c>
      <c r="B76" s="38"/>
      <c r="C76" s="38"/>
      <c r="D76" s="38"/>
      <c r="E76" s="38"/>
      <c r="F76" s="38"/>
      <c r="G76" s="17" t="s">
        <v>93</v>
      </c>
      <c r="H76" s="17" t="s">
        <v>138</v>
      </c>
      <c r="I76" s="18">
        <f>7000</f>
        <v>7000</v>
      </c>
      <c r="J76" s="43" t="s">
        <v>47</v>
      </c>
      <c r="K76" s="43"/>
      <c r="L76" s="43"/>
      <c r="M76" s="43"/>
      <c r="N76" s="59">
        <f>7000</f>
        <v>7000</v>
      </c>
      <c r="O76" s="59"/>
    </row>
    <row r="77" spans="1:15" s="1" customFormat="1" ht="13.5" customHeight="1">
      <c r="A77" s="38" t="s">
        <v>121</v>
      </c>
      <c r="B77" s="38"/>
      <c r="C77" s="38"/>
      <c r="D77" s="38"/>
      <c r="E77" s="38"/>
      <c r="F77" s="38"/>
      <c r="G77" s="17" t="s">
        <v>93</v>
      </c>
      <c r="H77" s="17" t="s">
        <v>139</v>
      </c>
      <c r="I77" s="18">
        <f>23000</f>
        <v>23000</v>
      </c>
      <c r="J77" s="43" t="s">
        <v>47</v>
      </c>
      <c r="K77" s="43"/>
      <c r="L77" s="43"/>
      <c r="M77" s="43"/>
      <c r="N77" s="59">
        <f>23000</f>
        <v>23000</v>
      </c>
      <c r="O77" s="59"/>
    </row>
    <row r="78" spans="1:15" s="1" customFormat="1" ht="13.5" customHeight="1">
      <c r="A78" s="38" t="s">
        <v>94</v>
      </c>
      <c r="B78" s="38"/>
      <c r="C78" s="38"/>
      <c r="D78" s="38"/>
      <c r="E78" s="38"/>
      <c r="F78" s="38"/>
      <c r="G78" s="17" t="s">
        <v>93</v>
      </c>
      <c r="H78" s="17" t="s">
        <v>140</v>
      </c>
      <c r="I78" s="18">
        <f aca="true" t="shared" si="0" ref="I78:I86">0</f>
        <v>0</v>
      </c>
      <c r="J78" s="43" t="s">
        <v>47</v>
      </c>
      <c r="K78" s="43"/>
      <c r="L78" s="43"/>
      <c r="M78" s="43"/>
      <c r="N78" s="59">
        <f aca="true" t="shared" si="1" ref="N78:N86">0</f>
        <v>0</v>
      </c>
      <c r="O78" s="59"/>
    </row>
    <row r="79" spans="1:15" s="1" customFormat="1" ht="13.5" customHeight="1">
      <c r="A79" s="38" t="s">
        <v>96</v>
      </c>
      <c r="B79" s="38"/>
      <c r="C79" s="38"/>
      <c r="D79" s="38"/>
      <c r="E79" s="38"/>
      <c r="F79" s="38"/>
      <c r="G79" s="17" t="s">
        <v>93</v>
      </c>
      <c r="H79" s="17" t="s">
        <v>141</v>
      </c>
      <c r="I79" s="18">
        <f t="shared" si="0"/>
        <v>0</v>
      </c>
      <c r="J79" s="43" t="s">
        <v>47</v>
      </c>
      <c r="K79" s="43"/>
      <c r="L79" s="43"/>
      <c r="M79" s="43"/>
      <c r="N79" s="59">
        <f t="shared" si="1"/>
        <v>0</v>
      </c>
      <c r="O79" s="59"/>
    </row>
    <row r="80" spans="1:15" s="1" customFormat="1" ht="13.5" customHeight="1">
      <c r="A80" s="38" t="s">
        <v>114</v>
      </c>
      <c r="B80" s="38"/>
      <c r="C80" s="38"/>
      <c r="D80" s="38"/>
      <c r="E80" s="38"/>
      <c r="F80" s="38"/>
      <c r="G80" s="17" t="s">
        <v>93</v>
      </c>
      <c r="H80" s="17" t="s">
        <v>142</v>
      </c>
      <c r="I80" s="18">
        <f t="shared" si="0"/>
        <v>0</v>
      </c>
      <c r="J80" s="43" t="s">
        <v>47</v>
      </c>
      <c r="K80" s="43"/>
      <c r="L80" s="43"/>
      <c r="M80" s="43"/>
      <c r="N80" s="59">
        <f t="shared" si="1"/>
        <v>0</v>
      </c>
      <c r="O80" s="59"/>
    </row>
    <row r="81" spans="1:15" s="1" customFormat="1" ht="13.5" customHeight="1">
      <c r="A81" s="38" t="s">
        <v>102</v>
      </c>
      <c r="B81" s="38"/>
      <c r="C81" s="38"/>
      <c r="D81" s="38"/>
      <c r="E81" s="38"/>
      <c r="F81" s="38"/>
      <c r="G81" s="17" t="s">
        <v>93</v>
      </c>
      <c r="H81" s="17" t="s">
        <v>143</v>
      </c>
      <c r="I81" s="18">
        <f t="shared" si="0"/>
        <v>0</v>
      </c>
      <c r="J81" s="43" t="s">
        <v>47</v>
      </c>
      <c r="K81" s="43"/>
      <c r="L81" s="43"/>
      <c r="M81" s="43"/>
      <c r="N81" s="59">
        <f t="shared" si="1"/>
        <v>0</v>
      </c>
      <c r="O81" s="59"/>
    </row>
    <row r="82" spans="1:15" s="1" customFormat="1" ht="13.5" customHeight="1">
      <c r="A82" s="38" t="s">
        <v>104</v>
      </c>
      <c r="B82" s="38"/>
      <c r="C82" s="38"/>
      <c r="D82" s="38"/>
      <c r="E82" s="38"/>
      <c r="F82" s="38"/>
      <c r="G82" s="17" t="s">
        <v>93</v>
      </c>
      <c r="H82" s="17" t="s">
        <v>144</v>
      </c>
      <c r="I82" s="18">
        <f t="shared" si="0"/>
        <v>0</v>
      </c>
      <c r="J82" s="43" t="s">
        <v>47</v>
      </c>
      <c r="K82" s="43"/>
      <c r="L82" s="43"/>
      <c r="M82" s="43"/>
      <c r="N82" s="59">
        <f t="shared" si="1"/>
        <v>0</v>
      </c>
      <c r="O82" s="59"/>
    </row>
    <row r="83" spans="1:15" s="1" customFormat="1" ht="13.5" customHeight="1">
      <c r="A83" s="38" t="s">
        <v>145</v>
      </c>
      <c r="B83" s="38"/>
      <c r="C83" s="38"/>
      <c r="D83" s="38"/>
      <c r="E83" s="38"/>
      <c r="F83" s="38"/>
      <c r="G83" s="17" t="s">
        <v>93</v>
      </c>
      <c r="H83" s="17" t="s">
        <v>146</v>
      </c>
      <c r="I83" s="18">
        <f t="shared" si="0"/>
        <v>0</v>
      </c>
      <c r="J83" s="43" t="s">
        <v>47</v>
      </c>
      <c r="K83" s="43"/>
      <c r="L83" s="43"/>
      <c r="M83" s="43"/>
      <c r="N83" s="59">
        <f t="shared" si="1"/>
        <v>0</v>
      </c>
      <c r="O83" s="59"/>
    </row>
    <row r="84" spans="1:15" s="1" customFormat="1" ht="13.5" customHeight="1">
      <c r="A84" s="38" t="s">
        <v>121</v>
      </c>
      <c r="B84" s="38"/>
      <c r="C84" s="38"/>
      <c r="D84" s="38"/>
      <c r="E84" s="38"/>
      <c r="F84" s="38"/>
      <c r="G84" s="17" t="s">
        <v>93</v>
      </c>
      <c r="H84" s="17" t="s">
        <v>147</v>
      </c>
      <c r="I84" s="18">
        <f t="shared" si="0"/>
        <v>0</v>
      </c>
      <c r="J84" s="43" t="s">
        <v>47</v>
      </c>
      <c r="K84" s="43"/>
      <c r="L84" s="43"/>
      <c r="M84" s="43"/>
      <c r="N84" s="59">
        <f t="shared" si="1"/>
        <v>0</v>
      </c>
      <c r="O84" s="59"/>
    </row>
    <row r="85" spans="1:15" s="1" customFormat="1" ht="13.5" customHeight="1">
      <c r="A85" s="38" t="s">
        <v>145</v>
      </c>
      <c r="B85" s="38"/>
      <c r="C85" s="38"/>
      <c r="D85" s="38"/>
      <c r="E85" s="38"/>
      <c r="F85" s="38"/>
      <c r="G85" s="17" t="s">
        <v>93</v>
      </c>
      <c r="H85" s="17" t="s">
        <v>148</v>
      </c>
      <c r="I85" s="18">
        <f t="shared" si="0"/>
        <v>0</v>
      </c>
      <c r="J85" s="43" t="s">
        <v>47</v>
      </c>
      <c r="K85" s="43"/>
      <c r="L85" s="43"/>
      <c r="M85" s="43"/>
      <c r="N85" s="59">
        <f t="shared" si="1"/>
        <v>0</v>
      </c>
      <c r="O85" s="59"/>
    </row>
    <row r="86" spans="1:15" s="1" customFormat="1" ht="13.5" customHeight="1">
      <c r="A86" s="38" t="s">
        <v>121</v>
      </c>
      <c r="B86" s="38"/>
      <c r="C86" s="38"/>
      <c r="D86" s="38"/>
      <c r="E86" s="38"/>
      <c r="F86" s="38"/>
      <c r="G86" s="17" t="s">
        <v>93</v>
      </c>
      <c r="H86" s="17" t="s">
        <v>149</v>
      </c>
      <c r="I86" s="18">
        <f t="shared" si="0"/>
        <v>0</v>
      </c>
      <c r="J86" s="43" t="s">
        <v>47</v>
      </c>
      <c r="K86" s="43"/>
      <c r="L86" s="43"/>
      <c r="M86" s="43"/>
      <c r="N86" s="59">
        <f t="shared" si="1"/>
        <v>0</v>
      </c>
      <c r="O86" s="59"/>
    </row>
    <row r="87" spans="1:15" s="1" customFormat="1" ht="13.5" customHeight="1">
      <c r="A87" s="38" t="s">
        <v>94</v>
      </c>
      <c r="B87" s="38"/>
      <c r="C87" s="38"/>
      <c r="D87" s="38"/>
      <c r="E87" s="38"/>
      <c r="F87" s="38"/>
      <c r="G87" s="17" t="s">
        <v>93</v>
      </c>
      <c r="H87" s="17" t="s">
        <v>150</v>
      </c>
      <c r="I87" s="18">
        <f>37000</f>
        <v>37000</v>
      </c>
      <c r="J87" s="43" t="s">
        <v>47</v>
      </c>
      <c r="K87" s="43"/>
      <c r="L87" s="43"/>
      <c r="M87" s="43"/>
      <c r="N87" s="59">
        <f>37000</f>
        <v>37000</v>
      </c>
      <c r="O87" s="59"/>
    </row>
    <row r="88" spans="1:15" s="1" customFormat="1" ht="13.5" customHeight="1">
      <c r="A88" s="38" t="s">
        <v>96</v>
      </c>
      <c r="B88" s="38"/>
      <c r="C88" s="38"/>
      <c r="D88" s="38"/>
      <c r="E88" s="38"/>
      <c r="F88" s="38"/>
      <c r="G88" s="17" t="s">
        <v>93</v>
      </c>
      <c r="H88" s="17" t="s">
        <v>151</v>
      </c>
      <c r="I88" s="18">
        <f>11000</f>
        <v>11000</v>
      </c>
      <c r="J88" s="43" t="s">
        <v>47</v>
      </c>
      <c r="K88" s="43"/>
      <c r="L88" s="43"/>
      <c r="M88" s="43"/>
      <c r="N88" s="59">
        <f>11000</f>
        <v>11000</v>
      </c>
      <c r="O88" s="59"/>
    </row>
    <row r="89" spans="1:15" s="1" customFormat="1" ht="13.5" customHeight="1">
      <c r="A89" s="38" t="s">
        <v>114</v>
      </c>
      <c r="B89" s="38"/>
      <c r="C89" s="38"/>
      <c r="D89" s="38"/>
      <c r="E89" s="38"/>
      <c r="F89" s="38"/>
      <c r="G89" s="17" t="s">
        <v>93</v>
      </c>
      <c r="H89" s="17" t="s">
        <v>152</v>
      </c>
      <c r="I89" s="18">
        <f>3000</f>
        <v>3000</v>
      </c>
      <c r="J89" s="43" t="s">
        <v>47</v>
      </c>
      <c r="K89" s="43"/>
      <c r="L89" s="43"/>
      <c r="M89" s="43"/>
      <c r="N89" s="59">
        <f>3000</f>
        <v>3000</v>
      </c>
      <c r="O89" s="59"/>
    </row>
    <row r="90" spans="1:15" s="1" customFormat="1" ht="13.5" customHeight="1">
      <c r="A90" s="38" t="s">
        <v>102</v>
      </c>
      <c r="B90" s="38"/>
      <c r="C90" s="38"/>
      <c r="D90" s="38"/>
      <c r="E90" s="38"/>
      <c r="F90" s="38"/>
      <c r="G90" s="17" t="s">
        <v>93</v>
      </c>
      <c r="H90" s="17" t="s">
        <v>153</v>
      </c>
      <c r="I90" s="18">
        <f>8700</f>
        <v>8700</v>
      </c>
      <c r="J90" s="43" t="s">
        <v>47</v>
      </c>
      <c r="K90" s="43"/>
      <c r="L90" s="43"/>
      <c r="M90" s="43"/>
      <c r="N90" s="59">
        <f>8700</f>
        <v>8700</v>
      </c>
      <c r="O90" s="59"/>
    </row>
    <row r="91" spans="1:15" s="1" customFormat="1" ht="13.5" customHeight="1">
      <c r="A91" s="38" t="s">
        <v>104</v>
      </c>
      <c r="B91" s="38"/>
      <c r="C91" s="38"/>
      <c r="D91" s="38"/>
      <c r="E91" s="38"/>
      <c r="F91" s="38"/>
      <c r="G91" s="17" t="s">
        <v>93</v>
      </c>
      <c r="H91" s="17" t="s">
        <v>154</v>
      </c>
      <c r="I91" s="18">
        <f>7200</f>
        <v>7200</v>
      </c>
      <c r="J91" s="43" t="s">
        <v>47</v>
      </c>
      <c r="K91" s="43"/>
      <c r="L91" s="43"/>
      <c r="M91" s="43"/>
      <c r="N91" s="59">
        <f>7200</f>
        <v>7200</v>
      </c>
      <c r="O91" s="59"/>
    </row>
    <row r="92" spans="1:15" s="1" customFormat="1" ht="13.5" customHeight="1">
      <c r="A92" s="38" t="s">
        <v>145</v>
      </c>
      <c r="B92" s="38"/>
      <c r="C92" s="38"/>
      <c r="D92" s="38"/>
      <c r="E92" s="38"/>
      <c r="F92" s="38"/>
      <c r="G92" s="17" t="s">
        <v>93</v>
      </c>
      <c r="H92" s="17" t="s">
        <v>155</v>
      </c>
      <c r="I92" s="18">
        <f>20000</f>
        <v>20000</v>
      </c>
      <c r="J92" s="43" t="s">
        <v>47</v>
      </c>
      <c r="K92" s="43"/>
      <c r="L92" s="43"/>
      <c r="M92" s="43"/>
      <c r="N92" s="59">
        <f>20000</f>
        <v>20000</v>
      </c>
      <c r="O92" s="59"/>
    </row>
    <row r="93" spans="1:15" s="1" customFormat="1" ht="13.5" customHeight="1">
      <c r="A93" s="38" t="s">
        <v>121</v>
      </c>
      <c r="B93" s="38"/>
      <c r="C93" s="38"/>
      <c r="D93" s="38"/>
      <c r="E93" s="38"/>
      <c r="F93" s="38"/>
      <c r="G93" s="17" t="s">
        <v>93</v>
      </c>
      <c r="H93" s="17" t="s">
        <v>156</v>
      </c>
      <c r="I93" s="18">
        <f>13100</f>
        <v>13100</v>
      </c>
      <c r="J93" s="43" t="s">
        <v>47</v>
      </c>
      <c r="K93" s="43"/>
      <c r="L93" s="43"/>
      <c r="M93" s="43"/>
      <c r="N93" s="59">
        <f>13100</f>
        <v>13100</v>
      </c>
      <c r="O93" s="59"/>
    </row>
    <row r="94" spans="1:15" s="1" customFormat="1" ht="13.5" customHeight="1">
      <c r="A94" s="38" t="s">
        <v>145</v>
      </c>
      <c r="B94" s="38"/>
      <c r="C94" s="38"/>
      <c r="D94" s="38"/>
      <c r="E94" s="38"/>
      <c r="F94" s="38"/>
      <c r="G94" s="17" t="s">
        <v>93</v>
      </c>
      <c r="H94" s="17" t="s">
        <v>157</v>
      </c>
      <c r="I94" s="18">
        <f>15000</f>
        <v>15000</v>
      </c>
      <c r="J94" s="43" t="s">
        <v>47</v>
      </c>
      <c r="K94" s="43"/>
      <c r="L94" s="43"/>
      <c r="M94" s="43"/>
      <c r="N94" s="59">
        <f>15000</f>
        <v>15000</v>
      </c>
      <c r="O94" s="59"/>
    </row>
    <row r="95" spans="1:15" s="1" customFormat="1" ht="13.5" customHeight="1">
      <c r="A95" s="38" t="s">
        <v>121</v>
      </c>
      <c r="B95" s="38"/>
      <c r="C95" s="38"/>
      <c r="D95" s="38"/>
      <c r="E95" s="38"/>
      <c r="F95" s="38"/>
      <c r="G95" s="17" t="s">
        <v>93</v>
      </c>
      <c r="H95" s="17" t="s">
        <v>158</v>
      </c>
      <c r="I95" s="18">
        <f>20000</f>
        <v>20000</v>
      </c>
      <c r="J95" s="43" t="s">
        <v>47</v>
      </c>
      <c r="K95" s="43"/>
      <c r="L95" s="43"/>
      <c r="M95" s="43"/>
      <c r="N95" s="59">
        <f>20000</f>
        <v>20000</v>
      </c>
      <c r="O95" s="59"/>
    </row>
    <row r="96" spans="1:15" s="1" customFormat="1" ht="13.5" customHeight="1">
      <c r="A96" s="38" t="s">
        <v>118</v>
      </c>
      <c r="B96" s="38"/>
      <c r="C96" s="38"/>
      <c r="D96" s="38"/>
      <c r="E96" s="38"/>
      <c r="F96" s="38"/>
      <c r="G96" s="17" t="s">
        <v>93</v>
      </c>
      <c r="H96" s="17" t="s">
        <v>159</v>
      </c>
      <c r="I96" s="18">
        <f>150000</f>
        <v>150000</v>
      </c>
      <c r="J96" s="43" t="s">
        <v>47</v>
      </c>
      <c r="K96" s="43"/>
      <c r="L96" s="43"/>
      <c r="M96" s="43"/>
      <c r="N96" s="59">
        <f>150000</f>
        <v>150000</v>
      </c>
      <c r="O96" s="59"/>
    </row>
    <row r="97" spans="1:15" s="1" customFormat="1" ht="13.5" customHeight="1">
      <c r="A97" s="38" t="s">
        <v>104</v>
      </c>
      <c r="B97" s="38"/>
      <c r="C97" s="38"/>
      <c r="D97" s="38"/>
      <c r="E97" s="38"/>
      <c r="F97" s="38"/>
      <c r="G97" s="17" t="s">
        <v>93</v>
      </c>
      <c r="H97" s="17" t="s">
        <v>160</v>
      </c>
      <c r="I97" s="18">
        <f>162000</f>
        <v>162000</v>
      </c>
      <c r="J97" s="39">
        <f>22200</f>
        <v>22200</v>
      </c>
      <c r="K97" s="39"/>
      <c r="L97" s="39"/>
      <c r="M97" s="39"/>
      <c r="N97" s="59">
        <f>139800</f>
        <v>139800</v>
      </c>
      <c r="O97" s="59"/>
    </row>
    <row r="98" spans="1:15" s="1" customFormat="1" ht="13.5" customHeight="1">
      <c r="A98" s="38" t="s">
        <v>121</v>
      </c>
      <c r="B98" s="38"/>
      <c r="C98" s="38"/>
      <c r="D98" s="38"/>
      <c r="E98" s="38"/>
      <c r="F98" s="38"/>
      <c r="G98" s="17" t="s">
        <v>93</v>
      </c>
      <c r="H98" s="17" t="s">
        <v>161</v>
      </c>
      <c r="I98" s="18">
        <f>49700</f>
        <v>49700</v>
      </c>
      <c r="J98" s="43" t="s">
        <v>47</v>
      </c>
      <c r="K98" s="43"/>
      <c r="L98" s="43"/>
      <c r="M98" s="43"/>
      <c r="N98" s="59">
        <f>49700</f>
        <v>49700</v>
      </c>
      <c r="O98" s="59"/>
    </row>
    <row r="99" spans="1:15" s="1" customFormat="1" ht="13.5" customHeight="1">
      <c r="A99" s="38" t="s">
        <v>121</v>
      </c>
      <c r="B99" s="38"/>
      <c r="C99" s="38"/>
      <c r="D99" s="38"/>
      <c r="E99" s="38"/>
      <c r="F99" s="38"/>
      <c r="G99" s="17" t="s">
        <v>93</v>
      </c>
      <c r="H99" s="17" t="s">
        <v>162</v>
      </c>
      <c r="I99" s="18">
        <f>5500</f>
        <v>5500</v>
      </c>
      <c r="J99" s="43" t="s">
        <v>47</v>
      </c>
      <c r="K99" s="43"/>
      <c r="L99" s="43"/>
      <c r="M99" s="43"/>
      <c r="N99" s="59">
        <f>5500</f>
        <v>5500</v>
      </c>
      <c r="O99" s="59"/>
    </row>
    <row r="100" spans="1:15" s="1" customFormat="1" ht="13.5" customHeight="1">
      <c r="A100" s="38" t="s">
        <v>104</v>
      </c>
      <c r="B100" s="38"/>
      <c r="C100" s="38"/>
      <c r="D100" s="38"/>
      <c r="E100" s="38"/>
      <c r="F100" s="38"/>
      <c r="G100" s="17" t="s">
        <v>93</v>
      </c>
      <c r="H100" s="17" t="s">
        <v>163</v>
      </c>
      <c r="I100" s="18">
        <f>2609076</f>
        <v>2609076</v>
      </c>
      <c r="J100" s="39">
        <f>381432.03</f>
        <v>381432.03</v>
      </c>
      <c r="K100" s="39"/>
      <c r="L100" s="39"/>
      <c r="M100" s="39"/>
      <c r="N100" s="59">
        <f>2227643.97</f>
        <v>2227643.97</v>
      </c>
      <c r="O100" s="59"/>
    </row>
    <row r="101" spans="1:15" s="1" customFormat="1" ht="13.5" customHeight="1">
      <c r="A101" s="38" t="s">
        <v>104</v>
      </c>
      <c r="B101" s="38"/>
      <c r="C101" s="38"/>
      <c r="D101" s="38"/>
      <c r="E101" s="38"/>
      <c r="F101" s="38"/>
      <c r="G101" s="17" t="s">
        <v>93</v>
      </c>
      <c r="H101" s="17" t="s">
        <v>164</v>
      </c>
      <c r="I101" s="18">
        <f>47727</f>
        <v>47727</v>
      </c>
      <c r="J101" s="43" t="s">
        <v>47</v>
      </c>
      <c r="K101" s="43"/>
      <c r="L101" s="43"/>
      <c r="M101" s="43"/>
      <c r="N101" s="59">
        <f>47727</f>
        <v>47727</v>
      </c>
      <c r="O101" s="59"/>
    </row>
    <row r="102" spans="1:15" s="1" customFormat="1" ht="24" customHeight="1">
      <c r="A102" s="38" t="s">
        <v>165</v>
      </c>
      <c r="B102" s="38"/>
      <c r="C102" s="38"/>
      <c r="D102" s="38"/>
      <c r="E102" s="38"/>
      <c r="F102" s="38"/>
      <c r="G102" s="17" t="s">
        <v>93</v>
      </c>
      <c r="H102" s="17" t="s">
        <v>166</v>
      </c>
      <c r="I102" s="18">
        <f>950000</f>
        <v>950000</v>
      </c>
      <c r="J102" s="39">
        <f>65869.2</f>
        <v>65869.2</v>
      </c>
      <c r="K102" s="39"/>
      <c r="L102" s="39"/>
      <c r="M102" s="39"/>
      <c r="N102" s="59">
        <f>884130.8</f>
        <v>884130.8</v>
      </c>
      <c r="O102" s="59"/>
    </row>
    <row r="103" spans="1:15" s="1" customFormat="1" ht="13.5" customHeight="1">
      <c r="A103" s="38" t="s">
        <v>118</v>
      </c>
      <c r="B103" s="38"/>
      <c r="C103" s="38"/>
      <c r="D103" s="38"/>
      <c r="E103" s="38"/>
      <c r="F103" s="38"/>
      <c r="G103" s="17" t="s">
        <v>93</v>
      </c>
      <c r="H103" s="17" t="s">
        <v>167</v>
      </c>
      <c r="I103" s="18">
        <f>2054000</f>
        <v>2054000</v>
      </c>
      <c r="J103" s="39">
        <f>497500</f>
        <v>497500</v>
      </c>
      <c r="K103" s="39"/>
      <c r="L103" s="39"/>
      <c r="M103" s="39"/>
      <c r="N103" s="59">
        <f>1556500</f>
        <v>1556500</v>
      </c>
      <c r="O103" s="59"/>
    </row>
    <row r="104" spans="1:15" s="1" customFormat="1" ht="13.5" customHeight="1">
      <c r="A104" s="38" t="s">
        <v>118</v>
      </c>
      <c r="B104" s="38"/>
      <c r="C104" s="38"/>
      <c r="D104" s="38"/>
      <c r="E104" s="38"/>
      <c r="F104" s="38"/>
      <c r="G104" s="17" t="s">
        <v>93</v>
      </c>
      <c r="H104" s="17" t="s">
        <v>168</v>
      </c>
      <c r="I104" s="18">
        <f>20000</f>
        <v>20000</v>
      </c>
      <c r="J104" s="43" t="s">
        <v>47</v>
      </c>
      <c r="K104" s="43"/>
      <c r="L104" s="43"/>
      <c r="M104" s="43"/>
      <c r="N104" s="59">
        <f>20000</f>
        <v>20000</v>
      </c>
      <c r="O104" s="59"/>
    </row>
    <row r="105" spans="1:15" s="1" customFormat="1" ht="13.5" customHeight="1">
      <c r="A105" s="38" t="s">
        <v>145</v>
      </c>
      <c r="B105" s="38"/>
      <c r="C105" s="38"/>
      <c r="D105" s="38"/>
      <c r="E105" s="38"/>
      <c r="F105" s="38"/>
      <c r="G105" s="17" t="s">
        <v>93</v>
      </c>
      <c r="H105" s="17" t="s">
        <v>169</v>
      </c>
      <c r="I105" s="18">
        <f>366166</f>
        <v>366166</v>
      </c>
      <c r="J105" s="39">
        <f>366160</f>
        <v>366160</v>
      </c>
      <c r="K105" s="39"/>
      <c r="L105" s="39"/>
      <c r="M105" s="39"/>
      <c r="N105" s="59">
        <f>6</f>
        <v>6</v>
      </c>
      <c r="O105" s="59"/>
    </row>
    <row r="106" spans="1:15" s="1" customFormat="1" ht="13.5" customHeight="1">
      <c r="A106" s="38" t="s">
        <v>121</v>
      </c>
      <c r="B106" s="38"/>
      <c r="C106" s="38"/>
      <c r="D106" s="38"/>
      <c r="E106" s="38"/>
      <c r="F106" s="38"/>
      <c r="G106" s="17" t="s">
        <v>93</v>
      </c>
      <c r="H106" s="17" t="s">
        <v>170</v>
      </c>
      <c r="I106" s="18">
        <f>97319</f>
        <v>97319</v>
      </c>
      <c r="J106" s="39">
        <f>97319</f>
        <v>97319</v>
      </c>
      <c r="K106" s="39"/>
      <c r="L106" s="39"/>
      <c r="M106" s="39"/>
      <c r="N106" s="59">
        <f>0</f>
        <v>0</v>
      </c>
      <c r="O106" s="59"/>
    </row>
    <row r="107" spans="1:15" s="1" customFormat="1" ht="13.5" customHeight="1">
      <c r="A107" s="38" t="s">
        <v>118</v>
      </c>
      <c r="B107" s="38"/>
      <c r="C107" s="38"/>
      <c r="D107" s="38"/>
      <c r="E107" s="38"/>
      <c r="F107" s="38"/>
      <c r="G107" s="17" t="s">
        <v>93</v>
      </c>
      <c r="H107" s="17" t="s">
        <v>171</v>
      </c>
      <c r="I107" s="18">
        <f>1899082.04</f>
        <v>1899082.04</v>
      </c>
      <c r="J107" s="39">
        <f>509167.64</f>
        <v>509167.64</v>
      </c>
      <c r="K107" s="39"/>
      <c r="L107" s="39"/>
      <c r="M107" s="39"/>
      <c r="N107" s="59">
        <f>1389914.4</f>
        <v>1389914.4</v>
      </c>
      <c r="O107" s="59"/>
    </row>
    <row r="108" spans="1:15" s="1" customFormat="1" ht="13.5" customHeight="1">
      <c r="A108" s="38" t="s">
        <v>114</v>
      </c>
      <c r="B108" s="38"/>
      <c r="C108" s="38"/>
      <c r="D108" s="38"/>
      <c r="E108" s="38"/>
      <c r="F108" s="38"/>
      <c r="G108" s="17" t="s">
        <v>93</v>
      </c>
      <c r="H108" s="17" t="s">
        <v>172</v>
      </c>
      <c r="I108" s="18">
        <f>190000</f>
        <v>190000</v>
      </c>
      <c r="J108" s="39">
        <f>27823.6</f>
        <v>27823.6</v>
      </c>
      <c r="K108" s="39"/>
      <c r="L108" s="39"/>
      <c r="M108" s="39"/>
      <c r="N108" s="59">
        <f>162176.4</f>
        <v>162176.4</v>
      </c>
      <c r="O108" s="59"/>
    </row>
    <row r="109" spans="1:15" s="1" customFormat="1" ht="13.5" customHeight="1">
      <c r="A109" s="38" t="s">
        <v>104</v>
      </c>
      <c r="B109" s="38"/>
      <c r="C109" s="38"/>
      <c r="D109" s="38"/>
      <c r="E109" s="38"/>
      <c r="F109" s="38"/>
      <c r="G109" s="17" t="s">
        <v>93</v>
      </c>
      <c r="H109" s="17" t="s">
        <v>173</v>
      </c>
      <c r="I109" s="18">
        <f>232500</f>
        <v>232500</v>
      </c>
      <c r="J109" s="39">
        <f>31974.72</f>
        <v>31974.72</v>
      </c>
      <c r="K109" s="39"/>
      <c r="L109" s="39"/>
      <c r="M109" s="39"/>
      <c r="N109" s="59">
        <f>200525.28</f>
        <v>200525.28</v>
      </c>
      <c r="O109" s="59"/>
    </row>
    <row r="110" spans="1:15" s="1" customFormat="1" ht="13.5" customHeight="1">
      <c r="A110" s="38" t="s">
        <v>104</v>
      </c>
      <c r="B110" s="38"/>
      <c r="C110" s="38"/>
      <c r="D110" s="38"/>
      <c r="E110" s="38"/>
      <c r="F110" s="38"/>
      <c r="G110" s="17" t="s">
        <v>93</v>
      </c>
      <c r="H110" s="17" t="s">
        <v>174</v>
      </c>
      <c r="I110" s="18">
        <f>148000</f>
        <v>148000</v>
      </c>
      <c r="J110" s="43" t="s">
        <v>47</v>
      </c>
      <c r="K110" s="43"/>
      <c r="L110" s="43"/>
      <c r="M110" s="43"/>
      <c r="N110" s="59">
        <f>148000</f>
        <v>148000</v>
      </c>
      <c r="O110" s="59"/>
    </row>
    <row r="111" spans="1:15" s="1" customFormat="1" ht="13.5" customHeight="1">
      <c r="A111" s="38" t="s">
        <v>118</v>
      </c>
      <c r="B111" s="38"/>
      <c r="C111" s="38"/>
      <c r="D111" s="38"/>
      <c r="E111" s="38"/>
      <c r="F111" s="38"/>
      <c r="G111" s="17" t="s">
        <v>93</v>
      </c>
      <c r="H111" s="17" t="s">
        <v>175</v>
      </c>
      <c r="I111" s="18">
        <f>500000</f>
        <v>500000</v>
      </c>
      <c r="J111" s="43" t="s">
        <v>47</v>
      </c>
      <c r="K111" s="43"/>
      <c r="L111" s="43"/>
      <c r="M111" s="43"/>
      <c r="N111" s="59">
        <f>500000</f>
        <v>500000</v>
      </c>
      <c r="O111" s="59"/>
    </row>
    <row r="112" spans="1:15" s="1" customFormat="1" ht="24" customHeight="1">
      <c r="A112" s="38" t="s">
        <v>165</v>
      </c>
      <c r="B112" s="38"/>
      <c r="C112" s="38"/>
      <c r="D112" s="38"/>
      <c r="E112" s="38"/>
      <c r="F112" s="38"/>
      <c r="G112" s="17" t="s">
        <v>93</v>
      </c>
      <c r="H112" s="17" t="s">
        <v>176</v>
      </c>
      <c r="I112" s="18">
        <f>600000</f>
        <v>600000</v>
      </c>
      <c r="J112" s="39">
        <f>128554</f>
        <v>128554</v>
      </c>
      <c r="K112" s="39"/>
      <c r="L112" s="39"/>
      <c r="M112" s="39"/>
      <c r="N112" s="59">
        <f>471446</f>
        <v>471446</v>
      </c>
      <c r="O112" s="59"/>
    </row>
    <row r="113" spans="1:15" s="1" customFormat="1" ht="13.5" customHeight="1">
      <c r="A113" s="38" t="s">
        <v>106</v>
      </c>
      <c r="B113" s="38"/>
      <c r="C113" s="38"/>
      <c r="D113" s="38"/>
      <c r="E113" s="38"/>
      <c r="F113" s="38"/>
      <c r="G113" s="17" t="s">
        <v>93</v>
      </c>
      <c r="H113" s="17" t="s">
        <v>177</v>
      </c>
      <c r="I113" s="18">
        <f>737900</f>
        <v>737900</v>
      </c>
      <c r="J113" s="43" t="s">
        <v>47</v>
      </c>
      <c r="K113" s="43"/>
      <c r="L113" s="43"/>
      <c r="M113" s="43"/>
      <c r="N113" s="59">
        <f>737900</f>
        <v>737900</v>
      </c>
      <c r="O113" s="59"/>
    </row>
    <row r="114" spans="1:15" s="1" customFormat="1" ht="13.5" customHeight="1">
      <c r="A114" s="38" t="s">
        <v>106</v>
      </c>
      <c r="B114" s="38"/>
      <c r="C114" s="38"/>
      <c r="D114" s="38"/>
      <c r="E114" s="38"/>
      <c r="F114" s="38"/>
      <c r="G114" s="17" t="s">
        <v>93</v>
      </c>
      <c r="H114" s="17" t="s">
        <v>178</v>
      </c>
      <c r="I114" s="18">
        <f>4040920</f>
        <v>4040920</v>
      </c>
      <c r="J114" s="43" t="s">
        <v>47</v>
      </c>
      <c r="K114" s="43"/>
      <c r="L114" s="43"/>
      <c r="M114" s="43"/>
      <c r="N114" s="59">
        <f>4040920</f>
        <v>4040920</v>
      </c>
      <c r="O114" s="59"/>
    </row>
    <row r="115" spans="1:15" s="1" customFormat="1" ht="13.5" customHeight="1">
      <c r="A115" s="38" t="s">
        <v>106</v>
      </c>
      <c r="B115" s="38"/>
      <c r="C115" s="38"/>
      <c r="D115" s="38"/>
      <c r="E115" s="38"/>
      <c r="F115" s="38"/>
      <c r="G115" s="17" t="s">
        <v>93</v>
      </c>
      <c r="H115" s="17" t="s">
        <v>179</v>
      </c>
      <c r="I115" s="18">
        <f>144100</f>
        <v>144100</v>
      </c>
      <c r="J115" s="43" t="s">
        <v>47</v>
      </c>
      <c r="K115" s="43"/>
      <c r="L115" s="43"/>
      <c r="M115" s="43"/>
      <c r="N115" s="59">
        <f>144100</f>
        <v>144100</v>
      </c>
      <c r="O115" s="59"/>
    </row>
    <row r="116" spans="1:15" s="1" customFormat="1" ht="13.5" customHeight="1">
      <c r="A116" s="38" t="s">
        <v>118</v>
      </c>
      <c r="B116" s="38"/>
      <c r="C116" s="38"/>
      <c r="D116" s="38"/>
      <c r="E116" s="38"/>
      <c r="F116" s="38"/>
      <c r="G116" s="17" t="s">
        <v>93</v>
      </c>
      <c r="H116" s="17" t="s">
        <v>180</v>
      </c>
      <c r="I116" s="18">
        <f>2456063</f>
        <v>2456063</v>
      </c>
      <c r="J116" s="39">
        <f>353890.38</f>
        <v>353890.38</v>
      </c>
      <c r="K116" s="39"/>
      <c r="L116" s="39"/>
      <c r="M116" s="39"/>
      <c r="N116" s="59">
        <f>2102172.62</f>
        <v>2102172.62</v>
      </c>
      <c r="O116" s="59"/>
    </row>
    <row r="117" spans="1:15" s="1" customFormat="1" ht="13.5" customHeight="1">
      <c r="A117" s="38" t="s">
        <v>118</v>
      </c>
      <c r="B117" s="38"/>
      <c r="C117" s="38"/>
      <c r="D117" s="38"/>
      <c r="E117" s="38"/>
      <c r="F117" s="38"/>
      <c r="G117" s="17" t="s">
        <v>93</v>
      </c>
      <c r="H117" s="17" t="s">
        <v>181</v>
      </c>
      <c r="I117" s="18">
        <f>308000</f>
        <v>308000</v>
      </c>
      <c r="J117" s="43" t="s">
        <v>47</v>
      </c>
      <c r="K117" s="43"/>
      <c r="L117" s="43"/>
      <c r="M117" s="43"/>
      <c r="N117" s="59">
        <f>308000</f>
        <v>308000</v>
      </c>
      <c r="O117" s="59"/>
    </row>
    <row r="118" spans="1:15" s="1" customFormat="1" ht="13.5" customHeight="1">
      <c r="A118" s="38" t="s">
        <v>118</v>
      </c>
      <c r="B118" s="38"/>
      <c r="C118" s="38"/>
      <c r="D118" s="38"/>
      <c r="E118" s="38"/>
      <c r="F118" s="38"/>
      <c r="G118" s="17" t="s">
        <v>93</v>
      </c>
      <c r="H118" s="17" t="s">
        <v>182</v>
      </c>
      <c r="I118" s="18">
        <f>700000</f>
        <v>700000</v>
      </c>
      <c r="J118" s="39">
        <f>15578</f>
        <v>15578</v>
      </c>
      <c r="K118" s="39"/>
      <c r="L118" s="39"/>
      <c r="M118" s="39"/>
      <c r="N118" s="59">
        <f>684422</f>
        <v>684422</v>
      </c>
      <c r="O118" s="59"/>
    </row>
    <row r="119" spans="1:15" s="1" customFormat="1" ht="13.5" customHeight="1">
      <c r="A119" s="38" t="s">
        <v>118</v>
      </c>
      <c r="B119" s="38"/>
      <c r="C119" s="38"/>
      <c r="D119" s="38"/>
      <c r="E119" s="38"/>
      <c r="F119" s="38"/>
      <c r="G119" s="17" t="s">
        <v>93</v>
      </c>
      <c r="H119" s="17" t="s">
        <v>183</v>
      </c>
      <c r="I119" s="18">
        <f>430000</f>
        <v>430000</v>
      </c>
      <c r="J119" s="43" t="s">
        <v>47</v>
      </c>
      <c r="K119" s="43"/>
      <c r="L119" s="43"/>
      <c r="M119" s="43"/>
      <c r="N119" s="59">
        <f>430000</f>
        <v>430000</v>
      </c>
      <c r="O119" s="59"/>
    </row>
    <row r="120" spans="1:15" s="1" customFormat="1" ht="13.5" customHeight="1">
      <c r="A120" s="38" t="s">
        <v>106</v>
      </c>
      <c r="B120" s="38"/>
      <c r="C120" s="38"/>
      <c r="D120" s="38"/>
      <c r="E120" s="38"/>
      <c r="F120" s="38"/>
      <c r="G120" s="17" t="s">
        <v>93</v>
      </c>
      <c r="H120" s="17" t="s">
        <v>184</v>
      </c>
      <c r="I120" s="18">
        <f>294337</f>
        <v>294337</v>
      </c>
      <c r="J120" s="39">
        <f>73584.25</f>
        <v>73584.25</v>
      </c>
      <c r="K120" s="39"/>
      <c r="L120" s="39"/>
      <c r="M120" s="39"/>
      <c r="N120" s="59">
        <f>220752.75</f>
        <v>220752.75</v>
      </c>
      <c r="O120" s="59"/>
    </row>
    <row r="121" spans="1:15" s="1" customFormat="1" ht="13.5" customHeight="1">
      <c r="A121" s="38" t="s">
        <v>108</v>
      </c>
      <c r="B121" s="38"/>
      <c r="C121" s="38"/>
      <c r="D121" s="38"/>
      <c r="E121" s="38"/>
      <c r="F121" s="38"/>
      <c r="G121" s="17" t="s">
        <v>93</v>
      </c>
      <c r="H121" s="17" t="s">
        <v>185</v>
      </c>
      <c r="I121" s="18">
        <f>53500</f>
        <v>53500</v>
      </c>
      <c r="J121" s="43" t="s">
        <v>47</v>
      </c>
      <c r="K121" s="43"/>
      <c r="L121" s="43"/>
      <c r="M121" s="43"/>
      <c r="N121" s="59">
        <f>53500</f>
        <v>53500</v>
      </c>
      <c r="O121" s="59"/>
    </row>
    <row r="122" spans="1:15" s="1" customFormat="1" ht="13.5" customHeight="1">
      <c r="A122" s="38" t="s">
        <v>121</v>
      </c>
      <c r="B122" s="38"/>
      <c r="C122" s="38"/>
      <c r="D122" s="38"/>
      <c r="E122" s="38"/>
      <c r="F122" s="38"/>
      <c r="G122" s="17" t="s">
        <v>93</v>
      </c>
      <c r="H122" s="17" t="s">
        <v>186</v>
      </c>
      <c r="I122" s="18">
        <f>38500</f>
        <v>38500</v>
      </c>
      <c r="J122" s="43" t="s">
        <v>47</v>
      </c>
      <c r="K122" s="43"/>
      <c r="L122" s="43"/>
      <c r="M122" s="43"/>
      <c r="N122" s="59">
        <f>38500</f>
        <v>38500</v>
      </c>
      <c r="O122" s="59"/>
    </row>
    <row r="123" spans="1:15" s="1" customFormat="1" ht="13.5" customHeight="1">
      <c r="A123" s="38" t="s">
        <v>96</v>
      </c>
      <c r="B123" s="38"/>
      <c r="C123" s="38"/>
      <c r="D123" s="38"/>
      <c r="E123" s="38"/>
      <c r="F123" s="38"/>
      <c r="G123" s="17" t="s">
        <v>93</v>
      </c>
      <c r="H123" s="17" t="s">
        <v>187</v>
      </c>
      <c r="I123" s="19" t="s">
        <v>47</v>
      </c>
      <c r="J123" s="39">
        <f>0</f>
        <v>0</v>
      </c>
      <c r="K123" s="39"/>
      <c r="L123" s="39"/>
      <c r="M123" s="39"/>
      <c r="N123" s="59">
        <f>0</f>
        <v>0</v>
      </c>
      <c r="O123" s="59"/>
    </row>
    <row r="124" spans="1:15" s="1" customFormat="1" ht="13.5" customHeight="1">
      <c r="A124" s="38" t="s">
        <v>94</v>
      </c>
      <c r="B124" s="38"/>
      <c r="C124" s="38"/>
      <c r="D124" s="38"/>
      <c r="E124" s="38"/>
      <c r="F124" s="38"/>
      <c r="G124" s="17" t="s">
        <v>93</v>
      </c>
      <c r="H124" s="17" t="s">
        <v>188</v>
      </c>
      <c r="I124" s="18">
        <f>445000</f>
        <v>445000</v>
      </c>
      <c r="J124" s="39">
        <f>328961.99</f>
        <v>328961.99</v>
      </c>
      <c r="K124" s="39"/>
      <c r="L124" s="39"/>
      <c r="M124" s="39"/>
      <c r="N124" s="59">
        <f>116038.01</f>
        <v>116038.01</v>
      </c>
      <c r="O124" s="59"/>
    </row>
    <row r="125" spans="1:15" s="1" customFormat="1" ht="13.5" customHeight="1">
      <c r="A125" s="38" t="s">
        <v>96</v>
      </c>
      <c r="B125" s="38"/>
      <c r="C125" s="38"/>
      <c r="D125" s="38"/>
      <c r="E125" s="38"/>
      <c r="F125" s="38"/>
      <c r="G125" s="17" t="s">
        <v>93</v>
      </c>
      <c r="H125" s="17" t="s">
        <v>189</v>
      </c>
      <c r="I125" s="18">
        <f>134400</f>
        <v>134400</v>
      </c>
      <c r="J125" s="39">
        <f>77223.47</f>
        <v>77223.47</v>
      </c>
      <c r="K125" s="39"/>
      <c r="L125" s="39"/>
      <c r="M125" s="39"/>
      <c r="N125" s="59">
        <f>57176.53</f>
        <v>57176.53</v>
      </c>
      <c r="O125" s="59"/>
    </row>
    <row r="126" spans="1:15" s="1" customFormat="1" ht="13.5" customHeight="1">
      <c r="A126" s="38" t="s">
        <v>100</v>
      </c>
      <c r="B126" s="38"/>
      <c r="C126" s="38"/>
      <c r="D126" s="38"/>
      <c r="E126" s="38"/>
      <c r="F126" s="38"/>
      <c r="G126" s="17" t="s">
        <v>93</v>
      </c>
      <c r="H126" s="17" t="s">
        <v>190</v>
      </c>
      <c r="I126" s="18">
        <f>15000</f>
        <v>15000</v>
      </c>
      <c r="J126" s="43" t="s">
        <v>47</v>
      </c>
      <c r="K126" s="43"/>
      <c r="L126" s="43"/>
      <c r="M126" s="43"/>
      <c r="N126" s="59">
        <f>15000</f>
        <v>15000</v>
      </c>
      <c r="O126" s="59"/>
    </row>
    <row r="127" spans="1:15" s="1" customFormat="1" ht="13.5" customHeight="1">
      <c r="A127" s="38" t="s">
        <v>94</v>
      </c>
      <c r="B127" s="38"/>
      <c r="C127" s="38"/>
      <c r="D127" s="38"/>
      <c r="E127" s="38"/>
      <c r="F127" s="38"/>
      <c r="G127" s="17" t="s">
        <v>93</v>
      </c>
      <c r="H127" s="17" t="s">
        <v>191</v>
      </c>
      <c r="I127" s="18">
        <f>3667500</f>
        <v>3667500</v>
      </c>
      <c r="J127" s="39">
        <f>1056323.74</f>
        <v>1056323.74</v>
      </c>
      <c r="K127" s="39"/>
      <c r="L127" s="39"/>
      <c r="M127" s="39"/>
      <c r="N127" s="59">
        <f>2611176.26</f>
        <v>2611176.26</v>
      </c>
      <c r="O127" s="59"/>
    </row>
    <row r="128" spans="1:15" s="1" customFormat="1" ht="13.5" customHeight="1">
      <c r="A128" s="38" t="s">
        <v>96</v>
      </c>
      <c r="B128" s="38"/>
      <c r="C128" s="38"/>
      <c r="D128" s="38"/>
      <c r="E128" s="38"/>
      <c r="F128" s="38"/>
      <c r="G128" s="17" t="s">
        <v>93</v>
      </c>
      <c r="H128" s="17" t="s">
        <v>192</v>
      </c>
      <c r="I128" s="18">
        <f>1107600</f>
        <v>1107600</v>
      </c>
      <c r="J128" s="39">
        <f>240732.36</f>
        <v>240732.36</v>
      </c>
      <c r="K128" s="39"/>
      <c r="L128" s="39"/>
      <c r="M128" s="39"/>
      <c r="N128" s="59">
        <f>866867.64</f>
        <v>866867.64</v>
      </c>
      <c r="O128" s="59"/>
    </row>
    <row r="129" spans="1:15" s="1" customFormat="1" ht="13.5" customHeight="1">
      <c r="A129" s="38" t="s">
        <v>100</v>
      </c>
      <c r="B129" s="38"/>
      <c r="C129" s="38"/>
      <c r="D129" s="38"/>
      <c r="E129" s="38"/>
      <c r="F129" s="38"/>
      <c r="G129" s="17" t="s">
        <v>93</v>
      </c>
      <c r="H129" s="17" t="s">
        <v>193</v>
      </c>
      <c r="I129" s="18">
        <f>67800</f>
        <v>67800</v>
      </c>
      <c r="J129" s="43" t="s">
        <v>47</v>
      </c>
      <c r="K129" s="43"/>
      <c r="L129" s="43"/>
      <c r="M129" s="43"/>
      <c r="N129" s="59">
        <f>67800</f>
        <v>67800</v>
      </c>
      <c r="O129" s="59"/>
    </row>
    <row r="130" spans="1:15" s="1" customFormat="1" ht="13.5" customHeight="1">
      <c r="A130" s="38" t="s">
        <v>114</v>
      </c>
      <c r="B130" s="38"/>
      <c r="C130" s="38"/>
      <c r="D130" s="38"/>
      <c r="E130" s="38"/>
      <c r="F130" s="38"/>
      <c r="G130" s="17" t="s">
        <v>93</v>
      </c>
      <c r="H130" s="17" t="s">
        <v>194</v>
      </c>
      <c r="I130" s="18">
        <f>59700</f>
        <v>59700</v>
      </c>
      <c r="J130" s="39">
        <f>6921.02</f>
        <v>6921.02</v>
      </c>
      <c r="K130" s="39"/>
      <c r="L130" s="39"/>
      <c r="M130" s="39"/>
      <c r="N130" s="59">
        <f>52778.98</f>
        <v>52778.98</v>
      </c>
      <c r="O130" s="59"/>
    </row>
    <row r="131" spans="1:15" s="1" customFormat="1" ht="13.5" customHeight="1">
      <c r="A131" s="38" t="s">
        <v>114</v>
      </c>
      <c r="B131" s="38"/>
      <c r="C131" s="38"/>
      <c r="D131" s="38"/>
      <c r="E131" s="38"/>
      <c r="F131" s="38"/>
      <c r="G131" s="17" t="s">
        <v>93</v>
      </c>
      <c r="H131" s="17" t="s">
        <v>195</v>
      </c>
      <c r="I131" s="18">
        <f>2000</f>
        <v>2000</v>
      </c>
      <c r="J131" s="43" t="s">
        <v>47</v>
      </c>
      <c r="K131" s="43"/>
      <c r="L131" s="43"/>
      <c r="M131" s="43"/>
      <c r="N131" s="59">
        <f>2000</f>
        <v>2000</v>
      </c>
      <c r="O131" s="59"/>
    </row>
    <row r="132" spans="1:15" s="1" customFormat="1" ht="13.5" customHeight="1">
      <c r="A132" s="38" t="s">
        <v>102</v>
      </c>
      <c r="B132" s="38"/>
      <c r="C132" s="38"/>
      <c r="D132" s="38"/>
      <c r="E132" s="38"/>
      <c r="F132" s="38"/>
      <c r="G132" s="17" t="s">
        <v>93</v>
      </c>
      <c r="H132" s="17" t="s">
        <v>196</v>
      </c>
      <c r="I132" s="18">
        <f>17040</f>
        <v>17040</v>
      </c>
      <c r="J132" s="43" t="s">
        <v>47</v>
      </c>
      <c r="K132" s="43"/>
      <c r="L132" s="43"/>
      <c r="M132" s="43"/>
      <c r="N132" s="59">
        <f>17040</f>
        <v>17040</v>
      </c>
      <c r="O132" s="59"/>
    </row>
    <row r="133" spans="1:15" s="1" customFormat="1" ht="13.5" customHeight="1">
      <c r="A133" s="38" t="s">
        <v>127</v>
      </c>
      <c r="B133" s="38"/>
      <c r="C133" s="38"/>
      <c r="D133" s="38"/>
      <c r="E133" s="38"/>
      <c r="F133" s="38"/>
      <c r="G133" s="17" t="s">
        <v>93</v>
      </c>
      <c r="H133" s="17" t="s">
        <v>197</v>
      </c>
      <c r="I133" s="18">
        <f>635000</f>
        <v>635000</v>
      </c>
      <c r="J133" s="39">
        <f>180781.87</f>
        <v>180781.87</v>
      </c>
      <c r="K133" s="39"/>
      <c r="L133" s="39"/>
      <c r="M133" s="39"/>
      <c r="N133" s="59">
        <f>454218.13</f>
        <v>454218.13</v>
      </c>
      <c r="O133" s="59"/>
    </row>
    <row r="134" spans="1:15" s="1" customFormat="1" ht="13.5" customHeight="1">
      <c r="A134" s="38" t="s">
        <v>118</v>
      </c>
      <c r="B134" s="38"/>
      <c r="C134" s="38"/>
      <c r="D134" s="38"/>
      <c r="E134" s="38"/>
      <c r="F134" s="38"/>
      <c r="G134" s="17" t="s">
        <v>93</v>
      </c>
      <c r="H134" s="17" t="s">
        <v>198</v>
      </c>
      <c r="I134" s="18">
        <f>36000</f>
        <v>36000</v>
      </c>
      <c r="J134" s="39">
        <f>1290.52</f>
        <v>1290.52</v>
      </c>
      <c r="K134" s="39"/>
      <c r="L134" s="39"/>
      <c r="M134" s="39"/>
      <c r="N134" s="59">
        <f>34709.48</f>
        <v>34709.48</v>
      </c>
      <c r="O134" s="59"/>
    </row>
    <row r="135" spans="1:15" s="1" customFormat="1" ht="13.5" customHeight="1">
      <c r="A135" s="38" t="s">
        <v>104</v>
      </c>
      <c r="B135" s="38"/>
      <c r="C135" s="38"/>
      <c r="D135" s="38"/>
      <c r="E135" s="38"/>
      <c r="F135" s="38"/>
      <c r="G135" s="17" t="s">
        <v>93</v>
      </c>
      <c r="H135" s="17" t="s">
        <v>199</v>
      </c>
      <c r="I135" s="18">
        <f>204000</f>
        <v>204000</v>
      </c>
      <c r="J135" s="39">
        <f>11822</f>
        <v>11822</v>
      </c>
      <c r="K135" s="39"/>
      <c r="L135" s="39"/>
      <c r="M135" s="39"/>
      <c r="N135" s="59">
        <f>192178</f>
        <v>192178</v>
      </c>
      <c r="O135" s="59"/>
    </row>
    <row r="136" spans="1:15" s="1" customFormat="1" ht="13.5" customHeight="1">
      <c r="A136" s="38" t="s">
        <v>121</v>
      </c>
      <c r="B136" s="38"/>
      <c r="C136" s="38"/>
      <c r="D136" s="38"/>
      <c r="E136" s="38"/>
      <c r="F136" s="38"/>
      <c r="G136" s="17" t="s">
        <v>93</v>
      </c>
      <c r="H136" s="17" t="s">
        <v>200</v>
      </c>
      <c r="I136" s="18">
        <f>30000</f>
        <v>30000</v>
      </c>
      <c r="J136" s="43" t="s">
        <v>47</v>
      </c>
      <c r="K136" s="43"/>
      <c r="L136" s="43"/>
      <c r="M136" s="43"/>
      <c r="N136" s="59">
        <f>30000</f>
        <v>30000</v>
      </c>
      <c r="O136" s="59"/>
    </row>
    <row r="137" spans="1:15" s="1" customFormat="1" ht="13.5" customHeight="1">
      <c r="A137" s="38" t="s">
        <v>108</v>
      </c>
      <c r="B137" s="38"/>
      <c r="C137" s="38"/>
      <c r="D137" s="38"/>
      <c r="E137" s="38"/>
      <c r="F137" s="38"/>
      <c r="G137" s="17" t="s">
        <v>93</v>
      </c>
      <c r="H137" s="17" t="s">
        <v>201</v>
      </c>
      <c r="I137" s="18">
        <f>30000</f>
        <v>30000</v>
      </c>
      <c r="J137" s="39">
        <f>5040.41</f>
        <v>5040.41</v>
      </c>
      <c r="K137" s="39"/>
      <c r="L137" s="39"/>
      <c r="M137" s="39"/>
      <c r="N137" s="59">
        <f>24959.59</f>
        <v>24959.59</v>
      </c>
      <c r="O137" s="59"/>
    </row>
    <row r="138" spans="1:15" s="1" customFormat="1" ht="13.5" customHeight="1">
      <c r="A138" s="38" t="s">
        <v>104</v>
      </c>
      <c r="B138" s="38"/>
      <c r="C138" s="38"/>
      <c r="D138" s="38"/>
      <c r="E138" s="38"/>
      <c r="F138" s="38"/>
      <c r="G138" s="17" t="s">
        <v>93</v>
      </c>
      <c r="H138" s="17" t="s">
        <v>202</v>
      </c>
      <c r="I138" s="18">
        <f>3500</f>
        <v>3500</v>
      </c>
      <c r="J138" s="43" t="s">
        <v>47</v>
      </c>
      <c r="K138" s="43"/>
      <c r="L138" s="43"/>
      <c r="M138" s="43"/>
      <c r="N138" s="59">
        <f>3500</f>
        <v>3500</v>
      </c>
      <c r="O138" s="59"/>
    </row>
    <row r="139" spans="1:15" s="1" customFormat="1" ht="13.5" customHeight="1">
      <c r="A139" s="38" t="s">
        <v>108</v>
      </c>
      <c r="B139" s="38"/>
      <c r="C139" s="38"/>
      <c r="D139" s="38"/>
      <c r="E139" s="38"/>
      <c r="F139" s="38"/>
      <c r="G139" s="17" t="s">
        <v>93</v>
      </c>
      <c r="H139" s="17" t="s">
        <v>203</v>
      </c>
      <c r="I139" s="18">
        <f>333500</f>
        <v>333500</v>
      </c>
      <c r="J139" s="39">
        <f>3793</f>
        <v>3793</v>
      </c>
      <c r="K139" s="39"/>
      <c r="L139" s="39"/>
      <c r="M139" s="39"/>
      <c r="N139" s="59">
        <f>329707</f>
        <v>329707</v>
      </c>
      <c r="O139" s="59"/>
    </row>
    <row r="140" spans="1:15" s="1" customFormat="1" ht="24" customHeight="1">
      <c r="A140" s="38" t="s">
        <v>204</v>
      </c>
      <c r="B140" s="38"/>
      <c r="C140" s="38"/>
      <c r="D140" s="38"/>
      <c r="E140" s="38"/>
      <c r="F140" s="38"/>
      <c r="G140" s="17" t="s">
        <v>93</v>
      </c>
      <c r="H140" s="17" t="s">
        <v>205</v>
      </c>
      <c r="I140" s="18">
        <f>180000</f>
        <v>180000</v>
      </c>
      <c r="J140" s="39">
        <f>45000</f>
        <v>45000</v>
      </c>
      <c r="K140" s="39"/>
      <c r="L140" s="39"/>
      <c r="M140" s="39"/>
      <c r="N140" s="59">
        <f>135000</f>
        <v>135000</v>
      </c>
      <c r="O140" s="59"/>
    </row>
    <row r="141" spans="1:15" s="1" customFormat="1" ht="13.5" customHeight="1">
      <c r="A141" s="38" t="s">
        <v>118</v>
      </c>
      <c r="B141" s="38"/>
      <c r="C141" s="38"/>
      <c r="D141" s="38"/>
      <c r="E141" s="38"/>
      <c r="F141" s="38"/>
      <c r="G141" s="17" t="s">
        <v>93</v>
      </c>
      <c r="H141" s="17" t="s">
        <v>206</v>
      </c>
      <c r="I141" s="18">
        <f>17000</f>
        <v>17000</v>
      </c>
      <c r="J141" s="43" t="s">
        <v>47</v>
      </c>
      <c r="K141" s="43"/>
      <c r="L141" s="43"/>
      <c r="M141" s="43"/>
      <c r="N141" s="59">
        <f>17000</f>
        <v>17000</v>
      </c>
      <c r="O141" s="59"/>
    </row>
    <row r="142" spans="1:15" s="1" customFormat="1" ht="13.5" customHeight="1">
      <c r="A142" s="38" t="s">
        <v>108</v>
      </c>
      <c r="B142" s="38"/>
      <c r="C142" s="38"/>
      <c r="D142" s="38"/>
      <c r="E142" s="38"/>
      <c r="F142" s="38"/>
      <c r="G142" s="17" t="s">
        <v>93</v>
      </c>
      <c r="H142" s="17" t="s">
        <v>207</v>
      </c>
      <c r="I142" s="18">
        <f>16200</f>
        <v>16200</v>
      </c>
      <c r="J142" s="43" t="s">
        <v>47</v>
      </c>
      <c r="K142" s="43"/>
      <c r="L142" s="43"/>
      <c r="M142" s="43"/>
      <c r="N142" s="59">
        <f>16200</f>
        <v>16200</v>
      </c>
      <c r="O142" s="59"/>
    </row>
    <row r="143" spans="1:15" s="1" customFormat="1" ht="13.5" customHeight="1">
      <c r="A143" s="38" t="s">
        <v>121</v>
      </c>
      <c r="B143" s="38"/>
      <c r="C143" s="38"/>
      <c r="D143" s="38"/>
      <c r="E143" s="38"/>
      <c r="F143" s="38"/>
      <c r="G143" s="17" t="s">
        <v>93</v>
      </c>
      <c r="H143" s="17" t="s">
        <v>208</v>
      </c>
      <c r="I143" s="18">
        <f>13800</f>
        <v>13800</v>
      </c>
      <c r="J143" s="43" t="s">
        <v>47</v>
      </c>
      <c r="K143" s="43"/>
      <c r="L143" s="43"/>
      <c r="M143" s="43"/>
      <c r="N143" s="59">
        <f>13800</f>
        <v>13800</v>
      </c>
      <c r="O143" s="59"/>
    </row>
    <row r="144" spans="1:15" s="1" customFormat="1" ht="13.5" customHeight="1">
      <c r="A144" s="38" t="s">
        <v>104</v>
      </c>
      <c r="B144" s="38"/>
      <c r="C144" s="38"/>
      <c r="D144" s="38"/>
      <c r="E144" s="38"/>
      <c r="F144" s="38"/>
      <c r="G144" s="17" t="s">
        <v>93</v>
      </c>
      <c r="H144" s="17" t="s">
        <v>209</v>
      </c>
      <c r="I144" s="18">
        <f>50000</f>
        <v>50000</v>
      </c>
      <c r="J144" s="39">
        <f>2568.13</f>
        <v>2568.13</v>
      </c>
      <c r="K144" s="39"/>
      <c r="L144" s="39"/>
      <c r="M144" s="39"/>
      <c r="N144" s="59">
        <f>47431.87</f>
        <v>47431.87</v>
      </c>
      <c r="O144" s="59"/>
    </row>
    <row r="145" spans="1:15" s="1" customFormat="1" ht="15" customHeight="1">
      <c r="A145" s="56" t="s">
        <v>210</v>
      </c>
      <c r="B145" s="56"/>
      <c r="C145" s="56"/>
      <c r="D145" s="56"/>
      <c r="E145" s="56"/>
      <c r="F145" s="56"/>
      <c r="G145" s="20" t="s">
        <v>211</v>
      </c>
      <c r="H145" s="20" t="s">
        <v>38</v>
      </c>
      <c r="I145" s="21">
        <f>-3907722.4</f>
        <v>-3907722.4</v>
      </c>
      <c r="J145" s="57">
        <f>-295306.79</f>
        <v>-295306.79</v>
      </c>
      <c r="K145" s="57"/>
      <c r="L145" s="57"/>
      <c r="M145" s="57"/>
      <c r="N145" s="58" t="s">
        <v>38</v>
      </c>
      <c r="O145" s="58"/>
    </row>
    <row r="146" spans="1:15" s="1" customFormat="1" ht="13.5" customHeight="1">
      <c r="A146" s="35" t="s">
        <v>18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s="1" customFormat="1" ht="13.5" customHeight="1">
      <c r="A147" s="52" t="s">
        <v>212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1:15" s="1" customFormat="1" ht="45.75" customHeight="1">
      <c r="A148" s="53" t="s">
        <v>24</v>
      </c>
      <c r="B148" s="53"/>
      <c r="C148" s="53"/>
      <c r="D148" s="53"/>
      <c r="E148" s="53"/>
      <c r="F148" s="53"/>
      <c r="G148" s="8" t="s">
        <v>25</v>
      </c>
      <c r="H148" s="8" t="s">
        <v>213</v>
      </c>
      <c r="I148" s="9" t="s">
        <v>27</v>
      </c>
      <c r="J148" s="54" t="s">
        <v>28</v>
      </c>
      <c r="K148" s="54"/>
      <c r="L148" s="54"/>
      <c r="M148" s="54"/>
      <c r="N148" s="55" t="s">
        <v>29</v>
      </c>
      <c r="O148" s="55"/>
    </row>
    <row r="149" spans="1:15" s="1" customFormat="1" ht="12.75" customHeight="1">
      <c r="A149" s="30" t="s">
        <v>30</v>
      </c>
      <c r="B149" s="30"/>
      <c r="C149" s="30"/>
      <c r="D149" s="30"/>
      <c r="E149" s="30"/>
      <c r="F149" s="30"/>
      <c r="G149" s="10" t="s">
        <v>31</v>
      </c>
      <c r="H149" s="10" t="s">
        <v>32</v>
      </c>
      <c r="I149" s="11" t="s">
        <v>33</v>
      </c>
      <c r="J149" s="31" t="s">
        <v>34</v>
      </c>
      <c r="K149" s="31"/>
      <c r="L149" s="31"/>
      <c r="M149" s="31"/>
      <c r="N149" s="32" t="s">
        <v>35</v>
      </c>
      <c r="O149" s="32"/>
    </row>
    <row r="150" spans="1:15" s="1" customFormat="1" ht="13.5" customHeight="1">
      <c r="A150" s="33" t="s">
        <v>214</v>
      </c>
      <c r="B150" s="33"/>
      <c r="C150" s="33"/>
      <c r="D150" s="33"/>
      <c r="E150" s="33"/>
      <c r="F150" s="33"/>
      <c r="G150" s="12" t="s">
        <v>215</v>
      </c>
      <c r="H150" s="12" t="s">
        <v>38</v>
      </c>
      <c r="I150" s="22">
        <f>3907722.4</f>
        <v>3907722.4</v>
      </c>
      <c r="J150" s="34">
        <f>295306.79</f>
        <v>295306.79</v>
      </c>
      <c r="K150" s="34"/>
      <c r="L150" s="34"/>
      <c r="M150" s="34"/>
      <c r="N150" s="51">
        <f>3612415.61</f>
        <v>3612415.61</v>
      </c>
      <c r="O150" s="51"/>
    </row>
    <row r="151" spans="1:15" s="1" customFormat="1" ht="13.5" customHeight="1">
      <c r="A151" s="47" t="s">
        <v>216</v>
      </c>
      <c r="B151" s="47"/>
      <c r="C151" s="47"/>
      <c r="D151" s="47"/>
      <c r="E151" s="47"/>
      <c r="F151" s="47"/>
      <c r="G151" s="23" t="s">
        <v>18</v>
      </c>
      <c r="H151" s="23" t="s">
        <v>18</v>
      </c>
      <c r="I151" s="24" t="s">
        <v>18</v>
      </c>
      <c r="J151" s="48" t="s">
        <v>18</v>
      </c>
      <c r="K151" s="48"/>
      <c r="L151" s="48"/>
      <c r="M151" s="48"/>
      <c r="N151" s="44" t="s">
        <v>18</v>
      </c>
      <c r="O151" s="44"/>
    </row>
    <row r="152" spans="1:15" s="1" customFormat="1" ht="13.5" customHeight="1">
      <c r="A152" s="49" t="s">
        <v>217</v>
      </c>
      <c r="B152" s="49"/>
      <c r="C152" s="49"/>
      <c r="D152" s="49"/>
      <c r="E152" s="49"/>
      <c r="F152" s="49"/>
      <c r="G152" s="25" t="s">
        <v>218</v>
      </c>
      <c r="H152" s="14" t="s">
        <v>38</v>
      </c>
      <c r="I152" s="26" t="s">
        <v>47</v>
      </c>
      <c r="J152" s="50" t="s">
        <v>47</v>
      </c>
      <c r="K152" s="50"/>
      <c r="L152" s="50"/>
      <c r="M152" s="50"/>
      <c r="N152" s="29" t="s">
        <v>47</v>
      </c>
      <c r="O152" s="29"/>
    </row>
    <row r="153" spans="1:15" s="1" customFormat="1" ht="13.5" customHeight="1">
      <c r="A153" s="38" t="s">
        <v>18</v>
      </c>
      <c r="B153" s="38"/>
      <c r="C153" s="38"/>
      <c r="D153" s="38"/>
      <c r="E153" s="38"/>
      <c r="F153" s="38"/>
      <c r="G153" s="17" t="s">
        <v>218</v>
      </c>
      <c r="H153" s="17" t="s">
        <v>18</v>
      </c>
      <c r="I153" s="27" t="s">
        <v>47</v>
      </c>
      <c r="J153" s="43" t="s">
        <v>47</v>
      </c>
      <c r="K153" s="43"/>
      <c r="L153" s="43"/>
      <c r="M153" s="43"/>
      <c r="N153" s="45" t="s">
        <v>47</v>
      </c>
      <c r="O153" s="45"/>
    </row>
    <row r="154" spans="1:15" s="1" customFormat="1" ht="0.75" customHeight="1">
      <c r="A154" s="46" t="s">
        <v>18</v>
      </c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</row>
    <row r="155" spans="1:15" s="1" customFormat="1" ht="13.5" customHeight="1">
      <c r="A155" s="38" t="s">
        <v>219</v>
      </c>
      <c r="B155" s="38"/>
      <c r="C155" s="38"/>
      <c r="D155" s="38"/>
      <c r="E155" s="38"/>
      <c r="F155" s="38"/>
      <c r="G155" s="23" t="s">
        <v>220</v>
      </c>
      <c r="H155" s="23" t="s">
        <v>38</v>
      </c>
      <c r="I155" s="24" t="s">
        <v>47</v>
      </c>
      <c r="J155" s="43" t="s">
        <v>47</v>
      </c>
      <c r="K155" s="43"/>
      <c r="L155" s="43"/>
      <c r="M155" s="43"/>
      <c r="N155" s="44" t="s">
        <v>47</v>
      </c>
      <c r="O155" s="44"/>
    </row>
    <row r="156" spans="1:15" s="1" customFormat="1" ht="13.5" customHeight="1">
      <c r="A156" s="38" t="s">
        <v>18</v>
      </c>
      <c r="B156" s="38"/>
      <c r="C156" s="38"/>
      <c r="D156" s="38"/>
      <c r="E156" s="38"/>
      <c r="F156" s="38"/>
      <c r="G156" s="17" t="s">
        <v>220</v>
      </c>
      <c r="H156" s="17" t="s">
        <v>18</v>
      </c>
      <c r="I156" s="27" t="s">
        <v>47</v>
      </c>
      <c r="J156" s="43" t="s">
        <v>47</v>
      </c>
      <c r="K156" s="43"/>
      <c r="L156" s="43"/>
      <c r="M156" s="43"/>
      <c r="N156" s="45" t="s">
        <v>47</v>
      </c>
      <c r="O156" s="45"/>
    </row>
    <row r="157" spans="1:15" s="1" customFormat="1" ht="13.5" customHeight="1">
      <c r="A157" s="38" t="s">
        <v>221</v>
      </c>
      <c r="B157" s="38"/>
      <c r="C157" s="38"/>
      <c r="D157" s="38"/>
      <c r="E157" s="38"/>
      <c r="F157" s="38"/>
      <c r="G157" s="17" t="s">
        <v>222</v>
      </c>
      <c r="H157" s="17" t="s">
        <v>223</v>
      </c>
      <c r="I157" s="28">
        <f>3907722.4</f>
        <v>3907722.4</v>
      </c>
      <c r="J157" s="39">
        <f>295306.79</f>
        <v>295306.79</v>
      </c>
      <c r="K157" s="39"/>
      <c r="L157" s="39"/>
      <c r="M157" s="39"/>
      <c r="N157" s="42">
        <f>3612415.61</f>
        <v>3612415.61</v>
      </c>
      <c r="O157" s="42"/>
    </row>
    <row r="158" spans="1:15" s="1" customFormat="1" ht="13.5" customHeight="1">
      <c r="A158" s="38" t="s">
        <v>224</v>
      </c>
      <c r="B158" s="38"/>
      <c r="C158" s="38"/>
      <c r="D158" s="38"/>
      <c r="E158" s="38"/>
      <c r="F158" s="38"/>
      <c r="G158" s="17" t="s">
        <v>225</v>
      </c>
      <c r="H158" s="17" t="s">
        <v>226</v>
      </c>
      <c r="I158" s="28">
        <f>-44084423</f>
        <v>-44084423</v>
      </c>
      <c r="J158" s="39">
        <f>-J12</f>
        <v>-7800936.34</v>
      </c>
      <c r="K158" s="39"/>
      <c r="L158" s="39"/>
      <c r="M158" s="39"/>
      <c r="N158" s="40" t="s">
        <v>38</v>
      </c>
      <c r="O158" s="40"/>
    </row>
    <row r="159" spans="1:15" s="1" customFormat="1" ht="13.5" customHeight="1">
      <c r="A159" s="38" t="s">
        <v>227</v>
      </c>
      <c r="B159" s="38"/>
      <c r="C159" s="38"/>
      <c r="D159" s="38"/>
      <c r="E159" s="38"/>
      <c r="F159" s="38"/>
      <c r="G159" s="17" t="s">
        <v>228</v>
      </c>
      <c r="H159" s="17" t="s">
        <v>229</v>
      </c>
      <c r="I159" s="28">
        <f>47992145.4</f>
        <v>47992145.4</v>
      </c>
      <c r="J159" s="39">
        <f>J42</f>
        <v>8096243.13</v>
      </c>
      <c r="K159" s="39"/>
      <c r="L159" s="39"/>
      <c r="M159" s="39"/>
      <c r="N159" s="40" t="s">
        <v>38</v>
      </c>
      <c r="O159" s="40"/>
    </row>
    <row r="160" spans="1:15" s="1" customFormat="1" ht="13.5" customHeight="1">
      <c r="A160" s="41" t="s">
        <v>18</v>
      </c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1:15" s="1" customFormat="1" ht="15.75" customHeight="1">
      <c r="A161" s="35" t="s">
        <v>18</v>
      </c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s="1" customFormat="1" ht="13.5" customHeight="1">
      <c r="A162" s="36" t="s">
        <v>230</v>
      </c>
      <c r="B162" s="36"/>
      <c r="C162" s="36"/>
      <c r="D162" s="36"/>
      <c r="E162" s="36"/>
      <c r="F162" s="35" t="s">
        <v>18</v>
      </c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s="1" customFormat="1" ht="13.5" customHeight="1">
      <c r="A163" s="37" t="s">
        <v>231</v>
      </c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5" spans="1:9" ht="12.75">
      <c r="A165" s="1" t="s">
        <v>232</v>
      </c>
      <c r="H165" s="66"/>
      <c r="I165" s="1" t="s">
        <v>233</v>
      </c>
    </row>
    <row r="167" spans="1:9" ht="12.75">
      <c r="A167" s="1" t="s">
        <v>234</v>
      </c>
      <c r="H167" s="66"/>
      <c r="I167" s="1" t="s">
        <v>235</v>
      </c>
    </row>
  </sheetData>
  <mergeCells count="461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O38"/>
    <mergeCell ref="A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F132"/>
    <mergeCell ref="J132:M132"/>
    <mergeCell ref="N132:O132"/>
    <mergeCell ref="A133:F133"/>
    <mergeCell ref="J133:M133"/>
    <mergeCell ref="N133:O133"/>
    <mergeCell ref="A134:F134"/>
    <mergeCell ref="J134:M134"/>
    <mergeCell ref="N134:O134"/>
    <mergeCell ref="A135:F135"/>
    <mergeCell ref="J135:M135"/>
    <mergeCell ref="N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F139"/>
    <mergeCell ref="J139:M139"/>
    <mergeCell ref="N139:O139"/>
    <mergeCell ref="A140:F140"/>
    <mergeCell ref="J140:M140"/>
    <mergeCell ref="N140:O140"/>
    <mergeCell ref="A141:F141"/>
    <mergeCell ref="J141:M141"/>
    <mergeCell ref="N141:O141"/>
    <mergeCell ref="A142:F142"/>
    <mergeCell ref="J142:M142"/>
    <mergeCell ref="N142:O142"/>
    <mergeCell ref="A143:F143"/>
    <mergeCell ref="J143:M143"/>
    <mergeCell ref="N143:O143"/>
    <mergeCell ref="A144:F144"/>
    <mergeCell ref="J144:M144"/>
    <mergeCell ref="N144:O144"/>
    <mergeCell ref="A145:F145"/>
    <mergeCell ref="J145:M145"/>
    <mergeCell ref="N145:O145"/>
    <mergeCell ref="A146:O146"/>
    <mergeCell ref="A147:O147"/>
    <mergeCell ref="A148:F148"/>
    <mergeCell ref="J148:M148"/>
    <mergeCell ref="N148:O148"/>
    <mergeCell ref="A149:F149"/>
    <mergeCell ref="J149:M149"/>
    <mergeCell ref="N149:O149"/>
    <mergeCell ref="A150:F150"/>
    <mergeCell ref="J150:M150"/>
    <mergeCell ref="N150:O150"/>
    <mergeCell ref="A151:F151"/>
    <mergeCell ref="J151:M151"/>
    <mergeCell ref="N151:O151"/>
    <mergeCell ref="A152:F152"/>
    <mergeCell ref="J152:M152"/>
    <mergeCell ref="N152:O152"/>
    <mergeCell ref="A153:F153"/>
    <mergeCell ref="J153:M153"/>
    <mergeCell ref="N153:O153"/>
    <mergeCell ref="A154:O154"/>
    <mergeCell ref="A155:F155"/>
    <mergeCell ref="J155:M155"/>
    <mergeCell ref="N155:O155"/>
    <mergeCell ref="A156:F156"/>
    <mergeCell ref="J156:M156"/>
    <mergeCell ref="N156:O156"/>
    <mergeCell ref="A157:F157"/>
    <mergeCell ref="J157:M157"/>
    <mergeCell ref="N157:O157"/>
    <mergeCell ref="A158:F158"/>
    <mergeCell ref="J158:M158"/>
    <mergeCell ref="N158:O158"/>
    <mergeCell ref="A159:F159"/>
    <mergeCell ref="J159:M159"/>
    <mergeCell ref="N159:O159"/>
    <mergeCell ref="A160:O160"/>
    <mergeCell ref="A161:O161"/>
    <mergeCell ref="A162:E162"/>
    <mergeCell ref="F162:O162"/>
    <mergeCell ref="A163:O163"/>
  </mergeCells>
  <printOptions/>
  <pageMargins left="0.3937007874015748" right="0" top="0.3937007874015748" bottom="0" header="0.5118110236220472" footer="0.5118110236220472"/>
  <pageSetup orientation="landscape" paperSize="9" scale="80" r:id="rId1"/>
  <rowBreaks count="2" manualBreakCount="2">
    <brk id="38" max="255" man="1"/>
    <brk id="14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2014-04-14T02:36:33Z</cp:lastPrinted>
  <dcterms:created xsi:type="dcterms:W3CDTF">2014-04-01T11:02:55Z</dcterms:created>
  <dcterms:modified xsi:type="dcterms:W3CDTF">2014-04-14T02:36:35Z</dcterms:modified>
  <cp:category/>
  <cp:version/>
  <cp:contentType/>
  <cp:contentStatus/>
</cp:coreProperties>
</file>