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<sst xmlns="http://schemas.openxmlformats.org/spreadsheetml/2006/main" count="687" uniqueCount="283">
  <si>
    <t>ОТЧЕТ ОБ ИСПОЛНЕНИИ БЮДЖЕТА</t>
  </si>
  <si>
    <t>КОДЫ</t>
  </si>
  <si>
    <t xml:space="preserve">Форма по ОКУД </t>
  </si>
  <si>
    <t>0503117</t>
  </si>
  <si>
    <t>на 1 октября 2014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</si>
  <si>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</si>
  <si>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</si>
  <si>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</si>
  <si>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</si>
  <si>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</si>
  <si>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</si>
  <si>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</si>
  <si>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</si>
  <si>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</si>
  <si>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</si>
  <si>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</si>
  <si>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</si>
  <si>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</si>
  <si>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</si>
  <si>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</si>
  <si>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</si>
  <si>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</si>
  <si>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</si>
  <si>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</si>
  <si>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</si>
  <si>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</si>
  <si>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</si>
  <si>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</si>
  <si>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</si>
  <si>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</si>
  <si>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</si>
  <si>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</si>
  <si>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</si>
  <si>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</si>
  <si>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</si>
  <si>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</si>
  <si>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</si>
  <si>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</si>
  <si>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</si>
  <si>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</si>
  <si>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</si>
  <si>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</si>
  <si>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</si>
  <si>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</si>
  <si>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</si>
  <si>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</si>
  <si>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</si>
  <si>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</si>
  <si>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</si>
  <si>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</si>
  <si>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</si>
  <si>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</si>
  <si>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</si>
  <si>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</si>
  <si>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</si>
  <si>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</si>
  <si>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</si>
  <si>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</si>
  <si>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</si>
  <si>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</si>
  <si>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</si>
  <si>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</si>
  <si>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</si>
  <si>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</si>
  <si>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</si>
  <si>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</si>
  <si>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</si>
  <si>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</si>
  <si>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</si>
  <si>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</si>
  <si>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</si>
  <si>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</si>
  <si>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</si>
  <si>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</si>
  <si>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</si>
  <si>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</si>
  <si>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</si>
  <si>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</si>
  <si>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</si>
  <si>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</si>
  <si>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Прочие дотации бюджетам поселений</t>
  </si>
  <si>
    <t>650 20201999 10 0000 151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</si>
  <si>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</si>
  <si>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</si>
  <si>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</si>
  <si>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</si>
  <si>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</si>
  <si>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</si>
  <si>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Межбюджетные трансферты, передаваемые бюджетам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</si>
  <si>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</si>
  <si>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</si>
  <si>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</si>
  <si>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</si>
  <si>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</si>
  <si>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</si>
  <si>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</si>
  <si>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</si>
  <si>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</si>
  <si>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</si>
  <si>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</si>
  <si>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</si>
  <si>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</si>
  <si>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</si>
  <si>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</si>
  <si>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</si>
  <si>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</si>
  <si>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</si>
  <si>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</si>
  <si>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</si>
  <si>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</si>
  <si>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</si>
  <si>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</si>
  <si>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</si>
  <si>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</si>
  <si>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</si>
  <si>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</si>
  <si>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</si>
  <si>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</si>
  <si>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</si>
  <si>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</si>
  <si>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</si>
  <si>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</si>
  <si>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</si>
  <si>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</si>
  <si>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</si>
  <si>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</si>
  <si>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</si>
  <si>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</si>
  <si>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</si>
  <si>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</si>
  <si>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</si>
  <si>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</si>
  <si>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</si>
  <si>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</si>
  <si>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</si>
  <si>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650 0113 6000240 244 340</t>
  </si>
  <si>
    <t>650 0113 6000240 852 290</t>
  </si>
  <si>
    <t>650 0203 6005118 121 211</t>
  </si>
  <si>
    <t>650 0203 6005118 121 213</t>
  </si>
  <si>
    <t>650 0203 6005118 242 221</t>
  </si>
  <si>
    <t>650 0203 6005118 244 223</t>
  </si>
  <si>
    <t>650 0203 6005118 244 225</t>
  </si>
  <si>
    <t>650 0203 6005118 244 226</t>
  </si>
  <si>
    <t>650 0203 6005118 244 340</t>
  </si>
  <si>
    <t>650 0304 6005119 121 211</t>
  </si>
  <si>
    <t>650 0304 6005119 121 213</t>
  </si>
  <si>
    <t>650 0304 6005119 244 221</t>
  </si>
  <si>
    <t>650 0304 6005119 244 222</t>
  </si>
  <si>
    <t>650 0304 6005119 244 226</t>
  </si>
  <si>
    <t>650 0304 6005119 244 310</t>
  </si>
  <si>
    <t>650 0304 6005119 244 340</t>
  </si>
  <si>
    <t>650 0304 6005519 244 310</t>
  </si>
  <si>
    <t>650 0304 6005519 244 340</t>
  </si>
  <si>
    <t>650 0304 6005930 121 211</t>
  </si>
  <si>
    <t>650 0304 6005930 121 213</t>
  </si>
  <si>
    <t>650 0304 6005930 244 221</t>
  </si>
  <si>
    <t>650 0304 6005930 244 222</t>
  </si>
  <si>
    <t>650 0304 6005930 244 226</t>
  </si>
  <si>
    <t>650 0304 6005930 244 310</t>
  </si>
  <si>
    <t>650 0304 6005930 244 340</t>
  </si>
  <si>
    <t>650 0304 6005931 244 310</t>
  </si>
  <si>
    <t>650 0304 6005931 244 340</t>
  </si>
  <si>
    <t>650 0314 0215414 244 310</t>
  </si>
  <si>
    <t>650 0314 0215414 244 340</t>
  </si>
  <si>
    <t>650 0314 0216414 244 340</t>
  </si>
  <si>
    <t>650 0314 0217402 244 225</t>
  </si>
  <si>
    <t>650 0314 0227402 244 225</t>
  </si>
  <si>
    <t>650 0314 0227402 244 226</t>
  </si>
  <si>
    <t>650 0314 6005414 244 340</t>
  </si>
  <si>
    <t>650 0314 6006414 244 340</t>
  </si>
  <si>
    <t>650 0401 6005604 244 226</t>
  </si>
  <si>
    <t>650 0401 6005683 244 226</t>
  </si>
  <si>
    <t>Безвозмездные перечисления организациям, за исключением государственных и муниципальных организаций</t>
  </si>
  <si>
    <t>650 0408 0337403 810 242</t>
  </si>
  <si>
    <t>650 0408 6000303 810 242</t>
  </si>
  <si>
    <t>650 0409 0317403 244 225</t>
  </si>
  <si>
    <t>650 0409 0317403 244 340</t>
  </si>
  <si>
    <t>650 0409 0327403 244 225</t>
  </si>
  <si>
    <t>650 0409 0327403 244 310</t>
  </si>
  <si>
    <t>650 0409 0327403 244 340</t>
  </si>
  <si>
    <t>650 0409 0337419 244 225</t>
  </si>
  <si>
    <t>650 0409 6000732 540 251</t>
  </si>
  <si>
    <t>650 0410 6000240 242 221</t>
  </si>
  <si>
    <t>650 0410 6000240 242 226</t>
  </si>
  <si>
    <t>650 0501 0407404 244 226</t>
  </si>
  <si>
    <t>650 0501 6000352 243 225</t>
  </si>
  <si>
    <t>650 0501 6003501 810 242</t>
  </si>
  <si>
    <t>650 0502 6000351 810 242</t>
  </si>
  <si>
    <t>650 0502 6005411 540 251</t>
  </si>
  <si>
    <t>650 0502 6005521 530 251</t>
  </si>
  <si>
    <t>650 0502 6006411 540 251</t>
  </si>
  <si>
    <t>650 0502 6007001 810 242</t>
  </si>
  <si>
    <t>650 0503 0510610 244 225</t>
  </si>
  <si>
    <t>650 0503 0520640 244 225</t>
  </si>
  <si>
    <t>650 0503 0540650 244 225</t>
  </si>
  <si>
    <t>650 0503 0540650 244 340</t>
  </si>
  <si>
    <t>Арендная плата за пользование имуществом</t>
  </si>
  <si>
    <t>650 0503 0550650 244 224</t>
  </si>
  <si>
    <t>650 0503 0550650 244 225</t>
  </si>
  <si>
    <t>650 0503 0550650 244 340</t>
  </si>
  <si>
    <t>650 0503 0555608 244 310</t>
  </si>
  <si>
    <t>650 0505 6000204 540 251</t>
  </si>
  <si>
    <t>650 0707 0620059 111 211</t>
  </si>
  <si>
    <t>650 0707 0620059 111 213</t>
  </si>
  <si>
    <t>650 0707 0620059 112 212</t>
  </si>
  <si>
    <t>650 0707 0620059 244 290</t>
  </si>
  <si>
    <t>650 0707 0620059 244 340</t>
  </si>
  <si>
    <t>650 0707 0627406 244 290</t>
  </si>
  <si>
    <t>650 0707 0627406 244 340</t>
  </si>
  <si>
    <t>650 0707 6000059 111 211</t>
  </si>
  <si>
    <t>650 0707 6000059 111 213</t>
  </si>
  <si>
    <t>650 0707 6000059 112 212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</si>
  <si>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</si>
  <si>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</si>
  <si>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</si>
  <si>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</si>
  <si>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</si>
  <si>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</si>
  <si>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</si>
  <si>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</si>
  <si>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</si>
  <si>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650 0801 0610059 244 340</t>
  </si>
  <si>
    <t>650 0801 0610059 852 290</t>
  </si>
  <si>
    <t>650 0801 0617406 244 290</t>
  </si>
  <si>
    <t>650 0801 6000059 111 211</t>
  </si>
  <si>
    <t>650 0801 6000059 111 213</t>
  </si>
  <si>
    <t>650 0801 6000059 112 212</t>
  </si>
  <si>
    <t>650 0801 6000059 242 221</t>
  </si>
  <si>
    <t>650 0801 6000059 244 221</t>
  </si>
  <si>
    <t>650 0801 6000059 244 222</t>
  </si>
  <si>
    <t>650 0801 6000059 244 223</t>
  </si>
  <si>
    <t>650 0801 6000059 244 225</t>
  </si>
  <si>
    <t>650 0801 6000059 244 226</t>
  </si>
  <si>
    <t>650 0801 6000059 244 340</t>
  </si>
  <si>
    <t>650 0801 6000059 852 290</t>
  </si>
  <si>
    <t>650 0804 0610059 111 211</t>
  </si>
  <si>
    <t>650 0804 0610059 111 213</t>
  </si>
  <si>
    <t>650 0804 0610059 112 212</t>
  </si>
  <si>
    <t>650 0804 0610059 242 221</t>
  </si>
  <si>
    <t>650 0804 0610059 244 221</t>
  </si>
  <si>
    <t>650 0804 0610059 244 222</t>
  </si>
  <si>
    <t>650 0804 0610059 244 223</t>
  </si>
  <si>
    <t>650 0804 0610059 244 225</t>
  </si>
  <si>
    <t>650 0804 0610059 244 226</t>
  </si>
  <si>
    <t>650 0804 0610059 244 290</t>
  </si>
  <si>
    <t>650 0804 0610059 244 340</t>
  </si>
  <si>
    <t>650 0804 0610059 852 290</t>
  </si>
  <si>
    <t>650 0804 0617406 244 226</t>
  </si>
  <si>
    <t>650 0804 0617406 244 290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</si>
  <si>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</si>
  <si>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</si>
  <si>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650 1101 0637004 244 225</t>
  </si>
  <si>
    <t>650 1101 0637004 244 290</t>
  </si>
  <si>
    <t>650 1101 0637004 244 310</t>
  </si>
  <si>
    <t>650 1101 0637004 244 340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</si>
  <si>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</si>
  <si>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</si>
  <si>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</si>
  <si>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</si>
  <si>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</si>
  <si>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</si>
  <si>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</si>
  <si>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</si>
  <si>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</si>
  <si>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</si>
  <si>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</si>
  <si>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</si>
  <si>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</si>
  <si>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</si>
  <si>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</si>
  <si>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</si>
  <si>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</si>
  <si>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</si>
  <si>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</si>
  <si>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</si>
  <si>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</si>
  <si>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октября 2014 г.   </t>
  </si>
  <si>
    <t>Форма 0503117 с.1</t>
  </si>
  <si>
    <t>Глава городского поселения Кондинское</t>
  </si>
  <si>
    <t>С.А.Дерябин</t>
  </si>
  <si>
    <t>Начальник отдела финансов и экономической политики</t>
  </si>
  <si>
    <t>О.Г.Михайлова</t>
  </si>
  <si>
    <t>650 0409 6000204 540 251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</si>
</sst>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4" fontId="5" fillId="2" borderId="2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7" fillId="2" borderId="21" xfId="0" applyNumberFormat="1" applyAlignment="1">
      <alignment horizontal="center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0" fillId="0" borderId="22" xfId="0" applyNumberFormat="1" applyBorder="1" applyAlignment="1">
      <alignment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23" xfId="0" applyNumberFormat="1" applyAlignment="1">
      <alignment horizontal="left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4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2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26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0" fontId="5" fillId="2" borderId="15" xfId="0" applyNumberFormat="1" applyAlignment="1">
      <alignment horizontal="lef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2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2" xfId="0" applyNumberFormat="1" applyAlignment="1">
      <alignment horizontal="right" vertical="center" wrapText="1"/>
    </xf>
    <xf numFmtId="0" fontId="5" fillId="2" borderId="32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9" fillId="2" borderId="0" xfId="0" applyNumberFormat="1" applyAlignment="1">
      <alignment horizontal="left" wrapText="1"/>
    </xf>
    <xf numFmtId="49" fontId="5" fillId="2" borderId="11" xfId="0" applyNumberFormat="1" applyFont="1" applyAlignment="1">
      <alignment horizontal="center" vertical="center" wrapText="1"/>
    </xf>
    <xf numFmtId="4" fontId="5" fillId="2" borderId="33" xfId="0" applyNumberFormat="1" applyBorder="1" applyAlignment="1">
      <alignment horizontal="center" vertical="center" wrapText="1"/>
    </xf>
    <xf numFmtId="4" fontId="5" fillId="2" borderId="34" xfId="0" applyNumberFormat="1" applyBorder="1" applyAlignment="1">
      <alignment horizontal="center" vertical="center" wrapText="1"/>
    </xf>
    <xf numFmtId="4" fontId="5" fillId="2" borderId="19" xfId="0" applyNumberFormat="1" applyBorder="1" applyAlignment="1">
      <alignment horizontal="center" vertical="center" wrapText="1"/>
    </xf>
    <xf numFmtId="4" fontId="5" fillId="2" borderId="33" xfId="0" applyNumberFormat="1" applyBorder="1" applyAlignment="1">
      <alignment horizontal="right" vertical="center" wrapText="1"/>
    </xf>
    <xf numFmtId="4" fontId="5" fillId="2" borderId="32" xfId="0" applyNumberForma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workbookViewId="0" topLeftCell="A25">
      <selection activeCell="N190" sqref="N190:O19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 t="s">
        <v>1</v>
      </c>
    </row>
    <row r="2" spans="1:15" s="1" customFormat="1" ht="13.5" customHeight="1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 t="s">
        <v>3</v>
      </c>
    </row>
    <row r="3" spans="1:15" s="1" customFormat="1" ht="13.5" customHeigh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 t="s">
        <v>5</v>
      </c>
      <c r="N3" s="36"/>
      <c r="O3" s="4">
        <v>41913</v>
      </c>
    </row>
    <row r="4" spans="1:15" s="1" customFormat="1" ht="13.5" customHeight="1">
      <c r="A4" s="37" t="s">
        <v>6</v>
      </c>
      <c r="B4" s="37"/>
      <c r="C4" s="37"/>
      <c r="D4" s="38" t="s">
        <v>7</v>
      </c>
      <c r="E4" s="38"/>
      <c r="F4" s="38"/>
      <c r="G4" s="38"/>
      <c r="H4" s="38"/>
      <c r="I4" s="38"/>
      <c r="J4" s="38"/>
      <c r="K4" s="38"/>
      <c r="L4" s="36" t="s">
        <v>8</v>
      </c>
      <c r="M4" s="36"/>
      <c r="N4" s="36"/>
      <c r="O4" s="6" t="s">
        <v>10</v>
      </c>
    </row>
    <row r="5" spans="1:15" s="1" customFormat="1" ht="13.5" customHeight="1">
      <c r="A5" s="37"/>
      <c r="B5" s="37"/>
      <c r="C5" s="37"/>
      <c r="D5" s="38"/>
      <c r="E5" s="38"/>
      <c r="F5" s="38"/>
      <c r="G5" s="38"/>
      <c r="H5" s="38"/>
      <c r="I5" s="38"/>
      <c r="J5" s="38"/>
      <c r="K5" s="38"/>
      <c r="L5" s="36" t="s">
        <v>9</v>
      </c>
      <c r="M5" s="36"/>
      <c r="N5" s="36"/>
      <c r="O5" s="6" t="s">
        <v>11</v>
      </c>
    </row>
    <row r="6" spans="1:15" s="1" customFormat="1" ht="13.5" customHeight="1">
      <c r="A6" s="37" t="s">
        <v>12</v>
      </c>
      <c r="B6" s="37"/>
      <c r="C6" s="37"/>
      <c r="D6" s="37"/>
      <c r="E6" s="38" t="s">
        <v>13</v>
      </c>
      <c r="F6" s="38"/>
      <c r="G6" s="38"/>
      <c r="H6" s="38"/>
      <c r="I6" s="38"/>
      <c r="J6" s="38"/>
      <c r="K6" s="38"/>
      <c r="L6" s="36" t="s">
        <v>14</v>
      </c>
      <c r="M6" s="36"/>
      <c r="N6" s="36"/>
      <c r="O6" s="6" t="s">
        <v>15</v>
      </c>
    </row>
    <row r="7" spans="1:15" s="1" customFormat="1" ht="13.5" customHeight="1">
      <c r="A7" s="5" t="s">
        <v>16</v>
      </c>
      <c r="B7" s="37" t="s">
        <v>17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6" t="s">
        <v>18</v>
      </c>
    </row>
    <row r="8" spans="1:15" s="1" customFormat="1" ht="13.5" customHeight="1">
      <c r="A8" s="37" t="s">
        <v>19</v>
      </c>
      <c r="B8" s="37"/>
      <c r="C8" s="37" t="s">
        <v>20</v>
      </c>
      <c r="D8" s="37"/>
      <c r="E8" s="37"/>
      <c r="F8" s="37"/>
      <c r="G8" s="37"/>
      <c r="H8" s="37"/>
      <c r="I8" s="37"/>
      <c r="J8" s="37"/>
      <c r="K8" s="36" t="s">
        <v>21</v>
      </c>
      <c r="L8" s="36"/>
      <c r="M8" s="36"/>
      <c r="N8" s="36"/>
      <c r="O8" s="7" t="s">
        <v>22</v>
      </c>
    </row>
    <row r="9" spans="1:15" s="1" customFormat="1" ht="13.5" customHeight="1">
      <c r="A9" s="39" t="s">
        <v>23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s="1" customFormat="1" ht="34.5" customHeight="1">
      <c r="A10" s="40" t="s">
        <v>24</v>
      </c>
      <c r="B10" s="40"/>
      <c r="C10" s="40"/>
      <c r="D10" s="40"/>
      <c r="E10" s="40"/>
      <c r="F10" s="40"/>
      <c r="G10" s="8" t="s">
        <v>25</v>
      </c>
      <c r="H10" s="8" t="s">
        <v>26</v>
      </c>
      <c r="I10" s="9" t="s">
        <v>27</v>
      </c>
      <c r="J10" s="41" t="s">
        <v>28</v>
      </c>
      <c r="K10" s="41"/>
      <c r="L10" s="41"/>
      <c r="M10" s="41"/>
      <c r="N10" s="42" t="s">
        <v>29</v>
      </c>
      <c r="O10" s="42"/>
    </row>
    <row r="11" spans="1:15" s="1" customFormat="1" ht="12.75" customHeight="1">
      <c r="A11" s="43" t="s">
        <v>30</v>
      </c>
      <c r="B11" s="43"/>
      <c r="C11" s="43"/>
      <c r="D11" s="43"/>
      <c r="E11" s="43"/>
      <c r="F11" s="43"/>
      <c r="G11" s="10" t="s">
        <v>31</v>
      </c>
      <c r="H11" s="10" t="s">
        <v>32</v>
      </c>
      <c r="I11" s="11" t="s">
        <v>33</v>
      </c>
      <c r="J11" s="44" t="s">
        <v>34</v>
      </c>
      <c r="K11" s="44"/>
      <c r="L11" s="44"/>
      <c r="M11" s="44"/>
      <c r="N11" s="45" t="s">
        <v>35</v>
      </c>
      <c r="O11" s="45"/>
    </row>
    <row r="12" spans="1:15" s="1" customFormat="1" ht="13.5" customHeight="1">
      <c r="A12" s="46" t="s">
        <v>36</v>
      </c>
      <c r="B12" s="46"/>
      <c r="C12" s="46"/>
      <c r="D12" s="46"/>
      <c r="E12" s="46"/>
      <c r="F12" s="46"/>
      <c r="G12" s="12" t="s">
        <v>37</v>
      </c>
      <c r="H12" s="12" t="s">
        <v>38</v>
      </c>
      <c r="I12" s="13">
        <f>46006477.77</f>
        <v>46006477.77</v>
      </c>
      <c r="J12" s="47">
        <f>33979271.96</f>
        <v>33979271.96</v>
      </c>
      <c r="K12" s="47"/>
      <c r="L12" s="47"/>
      <c r="M12" s="47"/>
      <c r="N12" s="48">
        <f>12027205.81</f>
        <v>12027205.81</v>
      </c>
      <c r="O12" s="48"/>
    </row>
    <row r="13" spans="1:15" s="1" customFormat="1" ht="45" customHeight="1">
      <c r="A13" s="49" t="s">
        <v>39</v>
      </c>
      <c r="B13" s="49"/>
      <c r="C13" s="49"/>
      <c r="D13" s="49"/>
      <c r="E13" s="49"/>
      <c r="F13" s="49"/>
      <c r="G13" s="14" t="s">
        <v>37</v>
      </c>
      <c r="H13" s="14" t="s">
        <v>40</v>
      </c>
      <c r="I13" s="15">
        <f>300000</f>
        <v>300000</v>
      </c>
      <c r="J13" s="50">
        <f>237429.28</f>
        <v>237429.28</v>
      </c>
      <c r="K13" s="50"/>
      <c r="L13" s="50"/>
      <c r="M13" s="50"/>
      <c r="N13" s="29">
        <f>62570.72</f>
        <v>62570.72</v>
      </c>
      <c r="O13" s="29"/>
    </row>
    <row r="14" spans="1:15" s="1" customFormat="1" ht="24" customHeight="1">
      <c r="A14" s="49" t="s">
        <v>41</v>
      </c>
      <c r="B14" s="49"/>
      <c r="C14" s="49"/>
      <c r="D14" s="49"/>
      <c r="E14" s="49"/>
      <c r="F14" s="49"/>
      <c r="G14" s="14" t="s">
        <v>37</v>
      </c>
      <c r="H14" s="14" t="s">
        <v>42</v>
      </c>
      <c r="I14" s="15">
        <f>28000</f>
        <v>28000</v>
      </c>
      <c r="J14" s="50">
        <f>44655.13</f>
        <v>44655.13</v>
      </c>
      <c r="K14" s="50"/>
      <c r="L14" s="50"/>
      <c r="M14" s="50"/>
      <c r="N14" s="29">
        <f>-16655.13</f>
        <v>-16655.13</v>
      </c>
      <c r="O14" s="29"/>
    </row>
    <row r="15" spans="1:15" s="1" customFormat="1" ht="45" customHeight="1">
      <c r="A15" s="49" t="s">
        <v>43</v>
      </c>
      <c r="B15" s="49"/>
      <c r="C15" s="49"/>
      <c r="D15" s="49"/>
      <c r="E15" s="49"/>
      <c r="F15" s="49"/>
      <c r="G15" s="14" t="s">
        <v>37</v>
      </c>
      <c r="H15" s="14" t="s">
        <v>44</v>
      </c>
      <c r="I15" s="15">
        <f>3856300</f>
        <v>3856300</v>
      </c>
      <c r="J15" s="50">
        <f>3018286.16</f>
        <v>3018286.16</v>
      </c>
      <c r="K15" s="50"/>
      <c r="L15" s="50"/>
      <c r="M15" s="50"/>
      <c r="N15" s="29">
        <f>838013.84</f>
        <v>838013.84</v>
      </c>
      <c r="O15" s="29"/>
    </row>
    <row r="16" spans="1:15" s="1" customFormat="1" ht="66" customHeight="1">
      <c r="A16" s="49" t="s">
        <v>45</v>
      </c>
      <c r="B16" s="49"/>
      <c r="C16" s="49"/>
      <c r="D16" s="49"/>
      <c r="E16" s="49"/>
      <c r="F16" s="49"/>
      <c r="G16" s="14" t="s">
        <v>37</v>
      </c>
      <c r="H16" s="14" t="s">
        <v>46</v>
      </c>
      <c r="I16" s="15">
        <f>2000</f>
        <v>2000</v>
      </c>
      <c r="J16" s="30" t="s">
        <v>47</v>
      </c>
      <c r="K16" s="30"/>
      <c r="L16" s="30"/>
      <c r="M16" s="30"/>
      <c r="N16" s="29">
        <f>2000</f>
        <v>2000</v>
      </c>
      <c r="O16" s="29"/>
    </row>
    <row r="17" spans="1:15" s="1" customFormat="1" ht="24" customHeight="1">
      <c r="A17" s="49" t="s">
        <v>48</v>
      </c>
      <c r="B17" s="49"/>
      <c r="C17" s="49"/>
      <c r="D17" s="49"/>
      <c r="E17" s="49"/>
      <c r="F17" s="49"/>
      <c r="G17" s="14" t="s">
        <v>37</v>
      </c>
      <c r="H17" s="14" t="s">
        <v>49</v>
      </c>
      <c r="I17" s="15">
        <f>20000</f>
        <v>20000</v>
      </c>
      <c r="J17" s="50">
        <f>11239.63</f>
        <v>11239.63</v>
      </c>
      <c r="K17" s="50"/>
      <c r="L17" s="50"/>
      <c r="M17" s="50"/>
      <c r="N17" s="29">
        <f>8760.37</f>
        <v>8760.37</v>
      </c>
      <c r="O17" s="29"/>
    </row>
    <row r="18" spans="1:15" s="1" customFormat="1" ht="13.5" customHeight="1">
      <c r="A18" s="49" t="s">
        <v>50</v>
      </c>
      <c r="B18" s="49"/>
      <c r="C18" s="49"/>
      <c r="D18" s="49"/>
      <c r="E18" s="49"/>
      <c r="F18" s="49"/>
      <c r="G18" s="14" t="s">
        <v>37</v>
      </c>
      <c r="H18" s="14" t="s">
        <v>51</v>
      </c>
      <c r="I18" s="15">
        <f>897300</f>
        <v>897300</v>
      </c>
      <c r="J18" s="50">
        <f>643373.62</f>
        <v>643373.62</v>
      </c>
      <c r="K18" s="50"/>
      <c r="L18" s="50"/>
      <c r="M18" s="50"/>
      <c r="N18" s="29">
        <f>253926.38</f>
        <v>253926.38</v>
      </c>
      <c r="O18" s="29"/>
    </row>
    <row r="19" spans="1:15" s="1" customFormat="1" ht="24" customHeight="1">
      <c r="A19" s="49" t="s">
        <v>52</v>
      </c>
      <c r="B19" s="49"/>
      <c r="C19" s="49"/>
      <c r="D19" s="49"/>
      <c r="E19" s="49"/>
      <c r="F19" s="49"/>
      <c r="G19" s="14" t="s">
        <v>37</v>
      </c>
      <c r="H19" s="14" t="s">
        <v>53</v>
      </c>
      <c r="I19" s="16" t="s">
        <v>47</v>
      </c>
      <c r="J19" s="50">
        <f>-5206.42</f>
        <v>-5206.42</v>
      </c>
      <c r="K19" s="50"/>
      <c r="L19" s="50"/>
      <c r="M19" s="50"/>
      <c r="N19" s="29">
        <f>0</f>
        <v>0</v>
      </c>
      <c r="O19" s="29"/>
    </row>
    <row r="20" spans="1:15" s="1" customFormat="1" ht="13.5" customHeight="1">
      <c r="A20" s="49" t="s">
        <v>54</v>
      </c>
      <c r="B20" s="49"/>
      <c r="C20" s="49"/>
      <c r="D20" s="49"/>
      <c r="E20" s="49"/>
      <c r="F20" s="49"/>
      <c r="G20" s="14" t="s">
        <v>37</v>
      </c>
      <c r="H20" s="14" t="s">
        <v>55</v>
      </c>
      <c r="I20" s="15">
        <f>78600</f>
        <v>78600</v>
      </c>
      <c r="J20" s="50">
        <f>83886.15</f>
        <v>83886.15</v>
      </c>
      <c r="K20" s="50"/>
      <c r="L20" s="50"/>
      <c r="M20" s="50"/>
      <c r="N20" s="29">
        <f>-5286.15</f>
        <v>-5286.15</v>
      </c>
      <c r="O20" s="29"/>
    </row>
    <row r="21" spans="1:15" s="1" customFormat="1" ht="24" customHeight="1">
      <c r="A21" s="49" t="s">
        <v>56</v>
      </c>
      <c r="B21" s="49"/>
      <c r="C21" s="49"/>
      <c r="D21" s="49"/>
      <c r="E21" s="49"/>
      <c r="F21" s="49"/>
      <c r="G21" s="14" t="s">
        <v>37</v>
      </c>
      <c r="H21" s="14" t="s">
        <v>57</v>
      </c>
      <c r="I21" s="15">
        <f>572400</f>
        <v>572400</v>
      </c>
      <c r="J21" s="50">
        <f>342949.42</f>
        <v>342949.42</v>
      </c>
      <c r="K21" s="50"/>
      <c r="L21" s="50"/>
      <c r="M21" s="50"/>
      <c r="N21" s="29">
        <f>229450.58</f>
        <v>229450.58</v>
      </c>
      <c r="O21" s="29"/>
    </row>
    <row r="22" spans="1:15" s="1" customFormat="1" ht="45" customHeight="1">
      <c r="A22" s="49" t="s">
        <v>58</v>
      </c>
      <c r="B22" s="49"/>
      <c r="C22" s="49"/>
      <c r="D22" s="49"/>
      <c r="E22" s="49"/>
      <c r="F22" s="49"/>
      <c r="G22" s="14" t="s">
        <v>37</v>
      </c>
      <c r="H22" s="14" t="s">
        <v>59</v>
      </c>
      <c r="I22" s="15">
        <f>100000</f>
        <v>100000</v>
      </c>
      <c r="J22" s="50">
        <f>72913.21</f>
        <v>72913.21</v>
      </c>
      <c r="K22" s="50"/>
      <c r="L22" s="50"/>
      <c r="M22" s="50"/>
      <c r="N22" s="29">
        <f>27086.79</f>
        <v>27086.79</v>
      </c>
      <c r="O22" s="29"/>
    </row>
    <row r="23" spans="1:15" s="1" customFormat="1" ht="45" customHeight="1">
      <c r="A23" s="49" t="s">
        <v>60</v>
      </c>
      <c r="B23" s="49"/>
      <c r="C23" s="49"/>
      <c r="D23" s="49"/>
      <c r="E23" s="49"/>
      <c r="F23" s="49"/>
      <c r="G23" s="14" t="s">
        <v>37</v>
      </c>
      <c r="H23" s="14" t="s">
        <v>61</v>
      </c>
      <c r="I23" s="15">
        <f>708500</f>
        <v>708500</v>
      </c>
      <c r="J23" s="50">
        <f>333279.93</f>
        <v>333279.93</v>
      </c>
      <c r="K23" s="50"/>
      <c r="L23" s="50"/>
      <c r="M23" s="50"/>
      <c r="N23" s="29">
        <f>375220.07</f>
        <v>375220.07</v>
      </c>
      <c r="O23" s="29"/>
    </row>
    <row r="24" spans="1:15" s="1" customFormat="1" ht="45" customHeight="1">
      <c r="A24" s="49" t="s">
        <v>62</v>
      </c>
      <c r="B24" s="49"/>
      <c r="C24" s="49"/>
      <c r="D24" s="49"/>
      <c r="E24" s="49"/>
      <c r="F24" s="49"/>
      <c r="G24" s="14" t="s">
        <v>37</v>
      </c>
      <c r="H24" s="14" t="s">
        <v>63</v>
      </c>
      <c r="I24" s="15">
        <f>105000</f>
        <v>105000</v>
      </c>
      <c r="J24" s="50">
        <f>116735</f>
        <v>116735</v>
      </c>
      <c r="K24" s="50"/>
      <c r="L24" s="50"/>
      <c r="M24" s="50"/>
      <c r="N24" s="29">
        <f>-11735</f>
        <v>-11735</v>
      </c>
      <c r="O24" s="29"/>
    </row>
    <row r="25" spans="1:15" s="1" customFormat="1" ht="33.75" customHeight="1">
      <c r="A25" s="49" t="s">
        <v>64</v>
      </c>
      <c r="B25" s="49"/>
      <c r="C25" s="49"/>
      <c r="D25" s="49"/>
      <c r="E25" s="49"/>
      <c r="F25" s="49"/>
      <c r="G25" s="14" t="s">
        <v>37</v>
      </c>
      <c r="H25" s="14" t="s">
        <v>65</v>
      </c>
      <c r="I25" s="15">
        <f>1327000</f>
        <v>1327000</v>
      </c>
      <c r="J25" s="50">
        <f>984034.33</f>
        <v>984034.33</v>
      </c>
      <c r="K25" s="50"/>
      <c r="L25" s="50"/>
      <c r="M25" s="50"/>
      <c r="N25" s="29">
        <f>342965.67</f>
        <v>342965.67</v>
      </c>
      <c r="O25" s="29"/>
    </row>
    <row r="26" spans="1:15" s="1" customFormat="1" ht="45" customHeight="1">
      <c r="A26" s="49" t="s">
        <v>66</v>
      </c>
      <c r="B26" s="49"/>
      <c r="C26" s="49"/>
      <c r="D26" s="49"/>
      <c r="E26" s="49"/>
      <c r="F26" s="49"/>
      <c r="G26" s="14" t="s">
        <v>37</v>
      </c>
      <c r="H26" s="14" t="s">
        <v>67</v>
      </c>
      <c r="I26" s="15">
        <f>710000</f>
        <v>710000</v>
      </c>
      <c r="J26" s="50">
        <f>500556.32</f>
        <v>500556.32</v>
      </c>
      <c r="K26" s="50"/>
      <c r="L26" s="50"/>
      <c r="M26" s="50"/>
      <c r="N26" s="29">
        <f>209443.68</f>
        <v>209443.68</v>
      </c>
      <c r="O26" s="29"/>
    </row>
    <row r="27" spans="1:15" s="1" customFormat="1" ht="24" customHeight="1">
      <c r="A27" s="49" t="s">
        <v>68</v>
      </c>
      <c r="B27" s="49"/>
      <c r="C27" s="49"/>
      <c r="D27" s="49"/>
      <c r="E27" s="49"/>
      <c r="F27" s="49"/>
      <c r="G27" s="14" t="s">
        <v>37</v>
      </c>
      <c r="H27" s="14" t="s">
        <v>69</v>
      </c>
      <c r="I27" s="15">
        <f>330350</f>
        <v>330350</v>
      </c>
      <c r="J27" s="50">
        <f>191362.85</f>
        <v>191362.85</v>
      </c>
      <c r="K27" s="50"/>
      <c r="L27" s="50"/>
      <c r="M27" s="50"/>
      <c r="N27" s="29">
        <f>138987.15</f>
        <v>138987.15</v>
      </c>
      <c r="O27" s="29"/>
    </row>
    <row r="28" spans="1:15" s="1" customFormat="1" ht="13.5" customHeight="1">
      <c r="A28" s="49" t="s">
        <v>70</v>
      </c>
      <c r="B28" s="49"/>
      <c r="C28" s="49"/>
      <c r="D28" s="49"/>
      <c r="E28" s="49"/>
      <c r="F28" s="49"/>
      <c r="G28" s="14" t="s">
        <v>37</v>
      </c>
      <c r="H28" s="14" t="s">
        <v>71</v>
      </c>
      <c r="I28" s="15">
        <f>250000</f>
        <v>250000</v>
      </c>
      <c r="J28" s="50">
        <f>230600.88</f>
        <v>230600.88</v>
      </c>
      <c r="K28" s="50"/>
      <c r="L28" s="50"/>
      <c r="M28" s="50"/>
      <c r="N28" s="29">
        <f>19399.12</f>
        <v>19399.12</v>
      </c>
      <c r="O28" s="29"/>
    </row>
    <row r="29" spans="1:15" s="1" customFormat="1" ht="54.75" customHeight="1">
      <c r="A29" s="49" t="s">
        <v>72</v>
      </c>
      <c r="B29" s="49"/>
      <c r="C29" s="49"/>
      <c r="D29" s="49"/>
      <c r="E29" s="49"/>
      <c r="F29" s="49"/>
      <c r="G29" s="14" t="s">
        <v>37</v>
      </c>
      <c r="H29" s="14" t="s">
        <v>73</v>
      </c>
      <c r="I29" s="15">
        <f>74720</f>
        <v>74720</v>
      </c>
      <c r="J29" s="50">
        <f>74720</f>
        <v>74720</v>
      </c>
      <c r="K29" s="50"/>
      <c r="L29" s="50"/>
      <c r="M29" s="50"/>
      <c r="N29" s="29">
        <f>0</f>
        <v>0</v>
      </c>
      <c r="O29" s="29"/>
    </row>
    <row r="30" spans="1:15" s="1" customFormat="1" ht="13.5" customHeight="1">
      <c r="A30" s="49" t="s">
        <v>74</v>
      </c>
      <c r="B30" s="49"/>
      <c r="C30" s="49"/>
      <c r="D30" s="49"/>
      <c r="E30" s="49"/>
      <c r="F30" s="49"/>
      <c r="G30" s="14" t="s">
        <v>37</v>
      </c>
      <c r="H30" s="14" t="s">
        <v>75</v>
      </c>
      <c r="I30" s="16" t="s">
        <v>47</v>
      </c>
      <c r="J30" s="50">
        <f>0</f>
        <v>0</v>
      </c>
      <c r="K30" s="50"/>
      <c r="L30" s="50"/>
      <c r="M30" s="50"/>
      <c r="N30" s="29">
        <f>0</f>
        <v>0</v>
      </c>
      <c r="O30" s="29"/>
    </row>
    <row r="31" spans="1:15" s="1" customFormat="1" ht="13.5" customHeight="1">
      <c r="A31" s="49" t="s">
        <v>76</v>
      </c>
      <c r="B31" s="49"/>
      <c r="C31" s="49"/>
      <c r="D31" s="49"/>
      <c r="E31" s="49"/>
      <c r="F31" s="49"/>
      <c r="G31" s="14" t="s">
        <v>37</v>
      </c>
      <c r="H31" s="14" t="s">
        <v>77</v>
      </c>
      <c r="I31" s="15">
        <f>25668300</f>
        <v>25668300</v>
      </c>
      <c r="J31" s="50">
        <f>19352070</f>
        <v>19352070</v>
      </c>
      <c r="K31" s="50"/>
      <c r="L31" s="50"/>
      <c r="M31" s="50"/>
      <c r="N31" s="29">
        <f>6316230</f>
        <v>6316230</v>
      </c>
      <c r="O31" s="29"/>
    </row>
    <row r="32" spans="1:15" s="1" customFormat="1" ht="24" customHeight="1">
      <c r="A32" s="49" t="s">
        <v>78</v>
      </c>
      <c r="B32" s="49"/>
      <c r="C32" s="49"/>
      <c r="D32" s="49"/>
      <c r="E32" s="49"/>
      <c r="F32" s="49"/>
      <c r="G32" s="14" t="s">
        <v>37</v>
      </c>
      <c r="H32" s="14" t="s">
        <v>79</v>
      </c>
      <c r="I32" s="15">
        <f>1853100</f>
        <v>1853100</v>
      </c>
      <c r="J32" s="50">
        <f>1213275</f>
        <v>1213275</v>
      </c>
      <c r="K32" s="50"/>
      <c r="L32" s="50"/>
      <c r="M32" s="50"/>
      <c r="N32" s="29">
        <f>639825</f>
        <v>639825</v>
      </c>
      <c r="O32" s="29"/>
    </row>
    <row r="33" spans="1:15" s="1" customFormat="1" ht="13.5" customHeight="1">
      <c r="A33" s="49" t="s">
        <v>80</v>
      </c>
      <c r="B33" s="49"/>
      <c r="C33" s="49"/>
      <c r="D33" s="49"/>
      <c r="E33" s="49"/>
      <c r="F33" s="49"/>
      <c r="G33" s="14" t="s">
        <v>37</v>
      </c>
      <c r="H33" s="14" t="s">
        <v>81</v>
      </c>
      <c r="I33" s="15">
        <f>67382.8</f>
        <v>67382.8</v>
      </c>
      <c r="J33" s="30" t="s">
        <v>47</v>
      </c>
      <c r="K33" s="30"/>
      <c r="L33" s="30"/>
      <c r="M33" s="30"/>
      <c r="N33" s="29">
        <f>67382.8</f>
        <v>67382.8</v>
      </c>
      <c r="O33" s="29"/>
    </row>
    <row r="34" spans="1:15" s="1" customFormat="1" ht="24" customHeight="1">
      <c r="A34" s="49" t="s">
        <v>82</v>
      </c>
      <c r="B34" s="49"/>
      <c r="C34" s="49"/>
      <c r="D34" s="49"/>
      <c r="E34" s="49"/>
      <c r="F34" s="49"/>
      <c r="G34" s="14" t="s">
        <v>37</v>
      </c>
      <c r="H34" s="14" t="s">
        <v>83</v>
      </c>
      <c r="I34" s="15">
        <f>135000</f>
        <v>135000</v>
      </c>
      <c r="J34" s="50">
        <f>126250.5</f>
        <v>126250.5</v>
      </c>
      <c r="K34" s="50"/>
      <c r="L34" s="50"/>
      <c r="M34" s="50"/>
      <c r="N34" s="29">
        <f>8749.5</f>
        <v>8749.5</v>
      </c>
      <c r="O34" s="29"/>
    </row>
    <row r="35" spans="1:15" s="1" customFormat="1" ht="24" customHeight="1">
      <c r="A35" s="49" t="s">
        <v>84</v>
      </c>
      <c r="B35" s="49"/>
      <c r="C35" s="49"/>
      <c r="D35" s="49"/>
      <c r="E35" s="49"/>
      <c r="F35" s="49"/>
      <c r="G35" s="14" t="s">
        <v>37</v>
      </c>
      <c r="H35" s="14" t="s">
        <v>85</v>
      </c>
      <c r="I35" s="15">
        <f>788000</f>
        <v>788000</v>
      </c>
      <c r="J35" s="50">
        <f>788000</f>
        <v>788000</v>
      </c>
      <c r="K35" s="50"/>
      <c r="L35" s="50"/>
      <c r="M35" s="50"/>
      <c r="N35" s="29">
        <f>0</f>
        <v>0</v>
      </c>
      <c r="O35" s="29"/>
    </row>
    <row r="36" spans="1:15" s="1" customFormat="1" ht="24" customHeight="1">
      <c r="A36" s="49" t="s">
        <v>86</v>
      </c>
      <c r="B36" s="49"/>
      <c r="C36" s="49"/>
      <c r="D36" s="49"/>
      <c r="E36" s="49"/>
      <c r="F36" s="49"/>
      <c r="G36" s="14" t="s">
        <v>37</v>
      </c>
      <c r="H36" s="14" t="s">
        <v>87</v>
      </c>
      <c r="I36" s="15">
        <f>3499820</f>
        <v>3499820</v>
      </c>
      <c r="J36" s="50">
        <f>2009488</f>
        <v>2009488</v>
      </c>
      <c r="K36" s="50"/>
      <c r="L36" s="50"/>
      <c r="M36" s="50"/>
      <c r="N36" s="29">
        <f>1490332</f>
        <v>1490332</v>
      </c>
      <c r="O36" s="29"/>
    </row>
    <row r="37" spans="1:15" s="1" customFormat="1" ht="24" customHeight="1">
      <c r="A37" s="49" t="s">
        <v>88</v>
      </c>
      <c r="B37" s="49"/>
      <c r="C37" s="49"/>
      <c r="D37" s="49"/>
      <c r="E37" s="49"/>
      <c r="F37" s="49"/>
      <c r="G37" s="14" t="s">
        <v>37</v>
      </c>
      <c r="H37" s="14" t="s">
        <v>89</v>
      </c>
      <c r="I37" s="15">
        <f>13428.97</f>
        <v>13428.97</v>
      </c>
      <c r="J37" s="50">
        <f>13428.97</f>
        <v>13428.97</v>
      </c>
      <c r="K37" s="50"/>
      <c r="L37" s="50"/>
      <c r="M37" s="50"/>
      <c r="N37" s="29">
        <f>0</f>
        <v>0</v>
      </c>
      <c r="O37" s="29"/>
    </row>
    <row r="38" spans="1:15" s="1" customFormat="1" ht="13.5" customHeight="1">
      <c r="A38" s="49" t="s">
        <v>90</v>
      </c>
      <c r="B38" s="49"/>
      <c r="C38" s="49"/>
      <c r="D38" s="49"/>
      <c r="E38" s="49"/>
      <c r="F38" s="49"/>
      <c r="G38" s="14" t="s">
        <v>37</v>
      </c>
      <c r="H38" s="14" t="s">
        <v>91</v>
      </c>
      <c r="I38" s="15">
        <f>4621276</f>
        <v>4621276</v>
      </c>
      <c r="J38" s="50">
        <f>3595944</f>
        <v>3595944</v>
      </c>
      <c r="K38" s="50"/>
      <c r="L38" s="50"/>
      <c r="M38" s="50"/>
      <c r="N38" s="29">
        <f>1025332</f>
        <v>1025332</v>
      </c>
      <c r="O38" s="29"/>
    </row>
    <row r="39" spans="1:15" s="1" customFormat="1" ht="13.5" customHeight="1">
      <c r="A39" s="31" t="s">
        <v>18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1" customFormat="1" ht="13.5" customHeight="1">
      <c r="A40" s="39" t="s">
        <v>92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s="1" customFormat="1" ht="34.5" customHeight="1">
      <c r="A41" s="40" t="s">
        <v>24</v>
      </c>
      <c r="B41" s="40"/>
      <c r="C41" s="40"/>
      <c r="D41" s="40"/>
      <c r="E41" s="40"/>
      <c r="F41" s="40"/>
      <c r="G41" s="8" t="s">
        <v>25</v>
      </c>
      <c r="H41" s="8" t="s">
        <v>93</v>
      </c>
      <c r="I41" s="9" t="s">
        <v>27</v>
      </c>
      <c r="J41" s="41" t="s">
        <v>28</v>
      </c>
      <c r="K41" s="41"/>
      <c r="L41" s="41"/>
      <c r="M41" s="41"/>
      <c r="N41" s="42" t="s">
        <v>29</v>
      </c>
      <c r="O41" s="42"/>
    </row>
    <row r="42" spans="1:15" s="1" customFormat="1" ht="13.5" customHeight="1">
      <c r="A42" s="43" t="s">
        <v>30</v>
      </c>
      <c r="B42" s="43"/>
      <c r="C42" s="43"/>
      <c r="D42" s="43"/>
      <c r="E42" s="43"/>
      <c r="F42" s="43"/>
      <c r="G42" s="10" t="s">
        <v>31</v>
      </c>
      <c r="H42" s="10" t="s">
        <v>32</v>
      </c>
      <c r="I42" s="11" t="s">
        <v>33</v>
      </c>
      <c r="J42" s="44" t="s">
        <v>34</v>
      </c>
      <c r="K42" s="44"/>
      <c r="L42" s="44"/>
      <c r="M42" s="44"/>
      <c r="N42" s="45" t="s">
        <v>35</v>
      </c>
      <c r="O42" s="45"/>
    </row>
    <row r="43" spans="1:15" s="1" customFormat="1" ht="13.5" customHeight="1">
      <c r="A43" s="46" t="s">
        <v>94</v>
      </c>
      <c r="B43" s="46"/>
      <c r="C43" s="46"/>
      <c r="D43" s="46"/>
      <c r="E43" s="46"/>
      <c r="F43" s="46"/>
      <c r="G43" s="12" t="s">
        <v>95</v>
      </c>
      <c r="H43" s="12" t="s">
        <v>38</v>
      </c>
      <c r="I43" s="13">
        <f>49914200.17</f>
        <v>49914200.17</v>
      </c>
      <c r="J43" s="47">
        <f>34809948.32</f>
        <v>34809948.32</v>
      </c>
      <c r="K43" s="47"/>
      <c r="L43" s="47"/>
      <c r="M43" s="47"/>
      <c r="N43" s="48">
        <f>15104251.85</f>
        <v>15104251.85</v>
      </c>
      <c r="O43" s="48"/>
    </row>
    <row r="44" spans="1:15" s="1" customFormat="1" ht="13.5" customHeight="1">
      <c r="A44" s="32" t="s">
        <v>96</v>
      </c>
      <c r="B44" s="32"/>
      <c r="C44" s="32"/>
      <c r="D44" s="32"/>
      <c r="E44" s="32"/>
      <c r="F44" s="32"/>
      <c r="G44" s="17" t="s">
        <v>95</v>
      </c>
      <c r="H44" s="17" t="s">
        <v>97</v>
      </c>
      <c r="I44" s="18">
        <f>1294000</f>
        <v>1294000</v>
      </c>
      <c r="J44" s="33">
        <f>931987.16</f>
        <v>931987.16</v>
      </c>
      <c r="K44" s="33"/>
      <c r="L44" s="33"/>
      <c r="M44" s="33"/>
      <c r="N44" s="51">
        <f>362012.84</f>
        <v>362012.84</v>
      </c>
      <c r="O44" s="51"/>
    </row>
    <row r="45" spans="1:15" s="1" customFormat="1" ht="13.5" customHeight="1">
      <c r="A45" s="32" t="s">
        <v>98</v>
      </c>
      <c r="B45" s="32"/>
      <c r="C45" s="32"/>
      <c r="D45" s="32"/>
      <c r="E45" s="32"/>
      <c r="F45" s="32"/>
      <c r="G45" s="17" t="s">
        <v>95</v>
      </c>
      <c r="H45" s="17" t="s">
        <v>99</v>
      </c>
      <c r="I45" s="18">
        <f>256000</f>
        <v>256000</v>
      </c>
      <c r="J45" s="33">
        <f>198966.74</f>
        <v>198966.74</v>
      </c>
      <c r="K45" s="33"/>
      <c r="L45" s="33"/>
      <c r="M45" s="33"/>
      <c r="N45" s="51">
        <f>57033.26</f>
        <v>57033.26</v>
      </c>
      <c r="O45" s="51"/>
    </row>
    <row r="46" spans="1:15" s="1" customFormat="1" ht="13.5" customHeight="1">
      <c r="A46" s="32" t="s">
        <v>96</v>
      </c>
      <c r="B46" s="32"/>
      <c r="C46" s="32"/>
      <c r="D46" s="32"/>
      <c r="E46" s="32"/>
      <c r="F46" s="32"/>
      <c r="G46" s="17" t="s">
        <v>95</v>
      </c>
      <c r="H46" s="17" t="s">
        <v>100</v>
      </c>
      <c r="I46" s="18">
        <f>8651200</f>
        <v>8651200</v>
      </c>
      <c r="J46" s="33">
        <f>6526996</f>
        <v>6526996</v>
      </c>
      <c r="K46" s="33"/>
      <c r="L46" s="33"/>
      <c r="M46" s="33"/>
      <c r="N46" s="51">
        <f>2124204</f>
        <v>2124204</v>
      </c>
      <c r="O46" s="51"/>
    </row>
    <row r="47" spans="1:15" s="1" customFormat="1" ht="13.5" customHeight="1">
      <c r="A47" s="32" t="s">
        <v>98</v>
      </c>
      <c r="B47" s="32"/>
      <c r="C47" s="32"/>
      <c r="D47" s="32"/>
      <c r="E47" s="32"/>
      <c r="F47" s="32"/>
      <c r="G47" s="17" t="s">
        <v>95</v>
      </c>
      <c r="H47" s="17" t="s">
        <v>101</v>
      </c>
      <c r="I47" s="18">
        <f>2450000</f>
        <v>2450000</v>
      </c>
      <c r="J47" s="33">
        <f>1798247.4</f>
        <v>1798247.4</v>
      </c>
      <c r="K47" s="33"/>
      <c r="L47" s="33"/>
      <c r="M47" s="33"/>
      <c r="N47" s="51">
        <f>651752.6</f>
        <v>651752.6</v>
      </c>
      <c r="O47" s="51"/>
    </row>
    <row r="48" spans="1:15" s="1" customFormat="1" ht="13.5" customHeight="1">
      <c r="A48" s="32" t="s">
        <v>102</v>
      </c>
      <c r="B48" s="32"/>
      <c r="C48" s="32"/>
      <c r="D48" s="32"/>
      <c r="E48" s="32"/>
      <c r="F48" s="32"/>
      <c r="G48" s="17" t="s">
        <v>95</v>
      </c>
      <c r="H48" s="17" t="s">
        <v>103</v>
      </c>
      <c r="I48" s="18">
        <f>75000</f>
        <v>75000</v>
      </c>
      <c r="J48" s="33">
        <f>16000</f>
        <v>16000</v>
      </c>
      <c r="K48" s="33"/>
      <c r="L48" s="33"/>
      <c r="M48" s="33"/>
      <c r="N48" s="51">
        <f>59000</f>
        <v>59000</v>
      </c>
      <c r="O48" s="51"/>
    </row>
    <row r="49" spans="1:15" s="1" customFormat="1" ht="13.5" customHeight="1">
      <c r="A49" s="32" t="s">
        <v>104</v>
      </c>
      <c r="B49" s="32"/>
      <c r="C49" s="32"/>
      <c r="D49" s="32"/>
      <c r="E49" s="32"/>
      <c r="F49" s="32"/>
      <c r="G49" s="17" t="s">
        <v>95</v>
      </c>
      <c r="H49" s="17" t="s">
        <v>105</v>
      </c>
      <c r="I49" s="18">
        <f>103400</f>
        <v>103400</v>
      </c>
      <c r="J49" s="33">
        <f>22308</f>
        <v>22308</v>
      </c>
      <c r="K49" s="33"/>
      <c r="L49" s="33"/>
      <c r="M49" s="33"/>
      <c r="N49" s="51">
        <f>81092</f>
        <v>81092</v>
      </c>
      <c r="O49" s="51"/>
    </row>
    <row r="50" spans="1:15" s="1" customFormat="1" ht="13.5" customHeight="1">
      <c r="A50" s="32" t="s">
        <v>106</v>
      </c>
      <c r="B50" s="32"/>
      <c r="C50" s="32"/>
      <c r="D50" s="32"/>
      <c r="E50" s="32"/>
      <c r="F50" s="32"/>
      <c r="G50" s="17" t="s">
        <v>95</v>
      </c>
      <c r="H50" s="17" t="s">
        <v>107</v>
      </c>
      <c r="I50" s="18">
        <f>100000</f>
        <v>100000</v>
      </c>
      <c r="J50" s="33">
        <f>36180</f>
        <v>36180</v>
      </c>
      <c r="K50" s="33"/>
      <c r="L50" s="33"/>
      <c r="M50" s="33"/>
      <c r="N50" s="51">
        <f>63820</f>
        <v>63820</v>
      </c>
      <c r="O50" s="51"/>
    </row>
    <row r="51" spans="1:15" s="1" customFormat="1" ht="13.5" customHeight="1">
      <c r="A51" s="32" t="s">
        <v>108</v>
      </c>
      <c r="B51" s="32"/>
      <c r="C51" s="32"/>
      <c r="D51" s="32"/>
      <c r="E51" s="32"/>
      <c r="F51" s="32"/>
      <c r="G51" s="17" t="s">
        <v>95</v>
      </c>
      <c r="H51" s="17" t="s">
        <v>109</v>
      </c>
      <c r="I51" s="18">
        <f>98111</f>
        <v>98111</v>
      </c>
      <c r="J51" s="33">
        <f>73583.25</f>
        <v>73583.25</v>
      </c>
      <c r="K51" s="33"/>
      <c r="L51" s="33"/>
      <c r="M51" s="33"/>
      <c r="N51" s="51">
        <f>24527.75</f>
        <v>24527.75</v>
      </c>
      <c r="O51" s="51"/>
    </row>
    <row r="52" spans="1:15" s="1" customFormat="1" ht="13.5" customHeight="1">
      <c r="A52" s="32" t="s">
        <v>110</v>
      </c>
      <c r="B52" s="32"/>
      <c r="C52" s="32"/>
      <c r="D52" s="32"/>
      <c r="E52" s="32"/>
      <c r="F52" s="32"/>
      <c r="G52" s="17" t="s">
        <v>95</v>
      </c>
      <c r="H52" s="17" t="s">
        <v>111</v>
      </c>
      <c r="I52" s="18">
        <f>0</f>
        <v>0</v>
      </c>
      <c r="J52" s="52" t="s">
        <v>47</v>
      </c>
      <c r="K52" s="52"/>
      <c r="L52" s="52"/>
      <c r="M52" s="52"/>
      <c r="N52" s="51">
        <f>0</f>
        <v>0</v>
      </c>
      <c r="O52" s="51"/>
    </row>
    <row r="53" spans="1:15" s="1" customFormat="1" ht="13.5" customHeight="1">
      <c r="A53" s="32" t="s">
        <v>106</v>
      </c>
      <c r="B53" s="32"/>
      <c r="C53" s="32"/>
      <c r="D53" s="32"/>
      <c r="E53" s="32"/>
      <c r="F53" s="32"/>
      <c r="G53" s="17" t="s">
        <v>95</v>
      </c>
      <c r="H53" s="17" t="s">
        <v>112</v>
      </c>
      <c r="I53" s="18">
        <f>70000</f>
        <v>70000</v>
      </c>
      <c r="J53" s="33">
        <f>3864</f>
        <v>3864</v>
      </c>
      <c r="K53" s="33"/>
      <c r="L53" s="33"/>
      <c r="M53" s="33"/>
      <c r="N53" s="51">
        <f>66136</f>
        <v>66136</v>
      </c>
      <c r="O53" s="51"/>
    </row>
    <row r="54" spans="1:15" s="1" customFormat="1" ht="13.5" customHeight="1">
      <c r="A54" s="32" t="s">
        <v>96</v>
      </c>
      <c r="B54" s="32"/>
      <c r="C54" s="32"/>
      <c r="D54" s="32"/>
      <c r="E54" s="32"/>
      <c r="F54" s="32"/>
      <c r="G54" s="17" t="s">
        <v>95</v>
      </c>
      <c r="H54" s="17" t="s">
        <v>113</v>
      </c>
      <c r="I54" s="18">
        <f>3850000</f>
        <v>3850000</v>
      </c>
      <c r="J54" s="33">
        <f>2425167.64</f>
        <v>2425167.64</v>
      </c>
      <c r="K54" s="33"/>
      <c r="L54" s="33"/>
      <c r="M54" s="33"/>
      <c r="N54" s="51">
        <f>1424832.36</f>
        <v>1424832.36</v>
      </c>
      <c r="O54" s="51"/>
    </row>
    <row r="55" spans="1:15" s="1" customFormat="1" ht="13.5" customHeight="1">
      <c r="A55" s="32" t="s">
        <v>98</v>
      </c>
      <c r="B55" s="32"/>
      <c r="C55" s="32"/>
      <c r="D55" s="32"/>
      <c r="E55" s="32"/>
      <c r="F55" s="32"/>
      <c r="G55" s="17" t="s">
        <v>95</v>
      </c>
      <c r="H55" s="17" t="s">
        <v>114</v>
      </c>
      <c r="I55" s="18">
        <f>1162700</f>
        <v>1162700</v>
      </c>
      <c r="J55" s="33">
        <f>655403.08</f>
        <v>655403.08</v>
      </c>
      <c r="K55" s="33"/>
      <c r="L55" s="33"/>
      <c r="M55" s="33"/>
      <c r="N55" s="51">
        <f>507296.92</f>
        <v>507296.92</v>
      </c>
      <c r="O55" s="51"/>
    </row>
    <row r="56" spans="1:15" s="1" customFormat="1" ht="13.5" customHeight="1">
      <c r="A56" s="32" t="s">
        <v>102</v>
      </c>
      <c r="B56" s="32"/>
      <c r="C56" s="32"/>
      <c r="D56" s="32"/>
      <c r="E56" s="32"/>
      <c r="F56" s="32"/>
      <c r="G56" s="17" t="s">
        <v>95</v>
      </c>
      <c r="H56" s="17" t="s">
        <v>115</v>
      </c>
      <c r="I56" s="18">
        <f>82200</f>
        <v>82200</v>
      </c>
      <c r="J56" s="33">
        <f>42801.6</f>
        <v>42801.6</v>
      </c>
      <c r="K56" s="33"/>
      <c r="L56" s="33"/>
      <c r="M56" s="33"/>
      <c r="N56" s="51">
        <f>39398.4</f>
        <v>39398.4</v>
      </c>
      <c r="O56" s="51"/>
    </row>
    <row r="57" spans="1:15" s="1" customFormat="1" ht="13.5" customHeight="1">
      <c r="A57" s="32" t="s">
        <v>116</v>
      </c>
      <c r="B57" s="32"/>
      <c r="C57" s="32"/>
      <c r="D57" s="32"/>
      <c r="E57" s="32"/>
      <c r="F57" s="32"/>
      <c r="G57" s="17" t="s">
        <v>95</v>
      </c>
      <c r="H57" s="17" t="s">
        <v>117</v>
      </c>
      <c r="I57" s="18">
        <f>12000</f>
        <v>12000</v>
      </c>
      <c r="J57" s="33">
        <f>8180.01</f>
        <v>8180.01</v>
      </c>
      <c r="K57" s="33"/>
      <c r="L57" s="33"/>
      <c r="M57" s="33"/>
      <c r="N57" s="51">
        <f>3819.99</f>
        <v>3819.99</v>
      </c>
      <c r="O57" s="51"/>
    </row>
    <row r="58" spans="1:15" s="1" customFormat="1" ht="13.5" customHeight="1">
      <c r="A58" s="32" t="s">
        <v>116</v>
      </c>
      <c r="B58" s="32"/>
      <c r="C58" s="32"/>
      <c r="D58" s="32"/>
      <c r="E58" s="32"/>
      <c r="F58" s="32"/>
      <c r="G58" s="17" t="s">
        <v>95</v>
      </c>
      <c r="H58" s="17" t="s">
        <v>118</v>
      </c>
      <c r="I58" s="18">
        <f>2000</f>
        <v>2000</v>
      </c>
      <c r="J58" s="33">
        <f>895</f>
        <v>895</v>
      </c>
      <c r="K58" s="33"/>
      <c r="L58" s="33"/>
      <c r="M58" s="33"/>
      <c r="N58" s="51">
        <f>1105</f>
        <v>1105</v>
      </c>
      <c r="O58" s="51"/>
    </row>
    <row r="59" spans="1:15" s="1" customFormat="1" ht="13.5" customHeight="1">
      <c r="A59" s="32" t="s">
        <v>104</v>
      </c>
      <c r="B59" s="32"/>
      <c r="C59" s="32"/>
      <c r="D59" s="32"/>
      <c r="E59" s="32"/>
      <c r="F59" s="32"/>
      <c r="G59" s="17" t="s">
        <v>95</v>
      </c>
      <c r="H59" s="17" t="s">
        <v>119</v>
      </c>
      <c r="I59" s="18">
        <f>19060</f>
        <v>19060</v>
      </c>
      <c r="J59" s="33">
        <f>3581</f>
        <v>3581</v>
      </c>
      <c r="K59" s="33"/>
      <c r="L59" s="33"/>
      <c r="M59" s="33"/>
      <c r="N59" s="51">
        <f>15479</f>
        <v>15479</v>
      </c>
      <c r="O59" s="51"/>
    </row>
    <row r="60" spans="1:15" s="1" customFormat="1" ht="13.5" customHeight="1">
      <c r="A60" s="32" t="s">
        <v>120</v>
      </c>
      <c r="B60" s="32"/>
      <c r="C60" s="32"/>
      <c r="D60" s="32"/>
      <c r="E60" s="32"/>
      <c r="F60" s="32"/>
      <c r="G60" s="17" t="s">
        <v>95</v>
      </c>
      <c r="H60" s="17" t="s">
        <v>121</v>
      </c>
      <c r="I60" s="18">
        <f>14500</f>
        <v>14500</v>
      </c>
      <c r="J60" s="33">
        <f>2640</f>
        <v>2640</v>
      </c>
      <c r="K60" s="33"/>
      <c r="L60" s="33"/>
      <c r="M60" s="33"/>
      <c r="N60" s="51">
        <f>11860</f>
        <v>11860</v>
      </c>
      <c r="O60" s="51"/>
    </row>
    <row r="61" spans="1:15" s="1" customFormat="1" ht="13.5" customHeight="1">
      <c r="A61" s="32" t="s">
        <v>106</v>
      </c>
      <c r="B61" s="32"/>
      <c r="C61" s="32"/>
      <c r="D61" s="32"/>
      <c r="E61" s="32"/>
      <c r="F61" s="32"/>
      <c r="G61" s="17" t="s">
        <v>95</v>
      </c>
      <c r="H61" s="17" t="s">
        <v>122</v>
      </c>
      <c r="I61" s="18">
        <f>66900</f>
        <v>66900</v>
      </c>
      <c r="J61" s="33">
        <f>29000</f>
        <v>29000</v>
      </c>
      <c r="K61" s="33"/>
      <c r="L61" s="33"/>
      <c r="M61" s="33"/>
      <c r="N61" s="51">
        <f>37900</f>
        <v>37900</v>
      </c>
      <c r="O61" s="51"/>
    </row>
    <row r="62" spans="1:15" s="1" customFormat="1" ht="13.5" customHeight="1">
      <c r="A62" s="32" t="s">
        <v>123</v>
      </c>
      <c r="B62" s="32"/>
      <c r="C62" s="32"/>
      <c r="D62" s="32"/>
      <c r="E62" s="32"/>
      <c r="F62" s="32"/>
      <c r="G62" s="17" t="s">
        <v>95</v>
      </c>
      <c r="H62" s="17" t="s">
        <v>124</v>
      </c>
      <c r="I62" s="18">
        <f>36390</f>
        <v>36390</v>
      </c>
      <c r="J62" s="33">
        <f>36388</f>
        <v>36388</v>
      </c>
      <c r="K62" s="33"/>
      <c r="L62" s="33"/>
      <c r="M62" s="33"/>
      <c r="N62" s="51">
        <f>2</f>
        <v>2</v>
      </c>
      <c r="O62" s="51"/>
    </row>
    <row r="63" spans="1:15" s="1" customFormat="1" ht="13.5" customHeight="1">
      <c r="A63" s="32" t="s">
        <v>125</v>
      </c>
      <c r="B63" s="32"/>
      <c r="C63" s="32"/>
      <c r="D63" s="32"/>
      <c r="E63" s="32"/>
      <c r="F63" s="32"/>
      <c r="G63" s="17" t="s">
        <v>95</v>
      </c>
      <c r="H63" s="17" t="s">
        <v>126</v>
      </c>
      <c r="I63" s="18">
        <f>148960</f>
        <v>148960</v>
      </c>
      <c r="J63" s="33">
        <f>130394.74</f>
        <v>130394.74</v>
      </c>
      <c r="K63" s="33"/>
      <c r="L63" s="33"/>
      <c r="M63" s="33"/>
      <c r="N63" s="51">
        <f>18565.26</f>
        <v>18565.26</v>
      </c>
      <c r="O63" s="51"/>
    </row>
    <row r="64" spans="1:15" s="1" customFormat="1" ht="13.5" customHeight="1">
      <c r="A64" s="32" t="s">
        <v>110</v>
      </c>
      <c r="B64" s="32"/>
      <c r="C64" s="32"/>
      <c r="D64" s="32"/>
      <c r="E64" s="32"/>
      <c r="F64" s="32"/>
      <c r="G64" s="17" t="s">
        <v>95</v>
      </c>
      <c r="H64" s="17" t="s">
        <v>127</v>
      </c>
      <c r="I64" s="18">
        <f>35000</f>
        <v>35000</v>
      </c>
      <c r="J64" s="33">
        <f>5609.5</f>
        <v>5609.5</v>
      </c>
      <c r="K64" s="33"/>
      <c r="L64" s="33"/>
      <c r="M64" s="33"/>
      <c r="N64" s="51">
        <f>29390.5</f>
        <v>29390.5</v>
      </c>
      <c r="O64" s="51"/>
    </row>
    <row r="65" spans="1:15" s="1" customFormat="1" ht="13.5" customHeight="1">
      <c r="A65" s="32" t="s">
        <v>108</v>
      </c>
      <c r="B65" s="32"/>
      <c r="C65" s="32"/>
      <c r="D65" s="32"/>
      <c r="E65" s="32"/>
      <c r="F65" s="32"/>
      <c r="G65" s="17" t="s">
        <v>95</v>
      </c>
      <c r="H65" s="17" t="s">
        <v>128</v>
      </c>
      <c r="I65" s="18">
        <f>12260</f>
        <v>12260</v>
      </c>
      <c r="J65" s="33">
        <f>9195</f>
        <v>9195</v>
      </c>
      <c r="K65" s="33"/>
      <c r="L65" s="33"/>
      <c r="M65" s="33"/>
      <c r="N65" s="51">
        <f>3065</f>
        <v>3065</v>
      </c>
      <c r="O65" s="51"/>
    </row>
    <row r="66" spans="1:15" s="1" customFormat="1" ht="13.5" customHeight="1">
      <c r="A66" s="32" t="s">
        <v>102</v>
      </c>
      <c r="B66" s="32"/>
      <c r="C66" s="32"/>
      <c r="D66" s="32"/>
      <c r="E66" s="32"/>
      <c r="F66" s="32"/>
      <c r="G66" s="17" t="s">
        <v>95</v>
      </c>
      <c r="H66" s="17" t="s">
        <v>129</v>
      </c>
      <c r="I66" s="18">
        <f>250000</f>
        <v>250000</v>
      </c>
      <c r="J66" s="33">
        <f>214135.15</f>
        <v>214135.15</v>
      </c>
      <c r="K66" s="33"/>
      <c r="L66" s="33"/>
      <c r="M66" s="33"/>
      <c r="N66" s="51">
        <f>35864.85</f>
        <v>35864.85</v>
      </c>
      <c r="O66" s="51"/>
    </row>
    <row r="67" spans="1:15" s="1" customFormat="1" ht="13.5" customHeight="1">
      <c r="A67" s="32" t="s">
        <v>116</v>
      </c>
      <c r="B67" s="32"/>
      <c r="C67" s="32"/>
      <c r="D67" s="32"/>
      <c r="E67" s="32"/>
      <c r="F67" s="32"/>
      <c r="G67" s="17" t="s">
        <v>95</v>
      </c>
      <c r="H67" s="17" t="s">
        <v>130</v>
      </c>
      <c r="I67" s="18">
        <f>24000</f>
        <v>24000</v>
      </c>
      <c r="J67" s="33">
        <f>8307.77</f>
        <v>8307.77</v>
      </c>
      <c r="K67" s="33"/>
      <c r="L67" s="33"/>
      <c r="M67" s="33"/>
      <c r="N67" s="51">
        <f>15692.23</f>
        <v>15692.23</v>
      </c>
      <c r="O67" s="51"/>
    </row>
    <row r="68" spans="1:15" s="1" customFormat="1" ht="13.5" customHeight="1">
      <c r="A68" s="32" t="s">
        <v>131</v>
      </c>
      <c r="B68" s="32"/>
      <c r="C68" s="32"/>
      <c r="D68" s="32"/>
      <c r="E68" s="32"/>
      <c r="F68" s="32"/>
      <c r="G68" s="17" t="s">
        <v>95</v>
      </c>
      <c r="H68" s="17" t="s">
        <v>132</v>
      </c>
      <c r="I68" s="18">
        <f>1250000</f>
        <v>1250000</v>
      </c>
      <c r="J68" s="33">
        <f>809846.09</f>
        <v>809846.09</v>
      </c>
      <c r="K68" s="33"/>
      <c r="L68" s="33"/>
      <c r="M68" s="33"/>
      <c r="N68" s="51">
        <f>440153.91</f>
        <v>440153.91</v>
      </c>
      <c r="O68" s="51"/>
    </row>
    <row r="69" spans="1:15" s="1" customFormat="1" ht="13.5" customHeight="1">
      <c r="A69" s="32" t="s">
        <v>120</v>
      </c>
      <c r="B69" s="32"/>
      <c r="C69" s="32"/>
      <c r="D69" s="32"/>
      <c r="E69" s="32"/>
      <c r="F69" s="32"/>
      <c r="G69" s="17" t="s">
        <v>95</v>
      </c>
      <c r="H69" s="17" t="s">
        <v>133</v>
      </c>
      <c r="I69" s="18">
        <f>70000</f>
        <v>70000</v>
      </c>
      <c r="J69" s="33">
        <f>12232.1</f>
        <v>12232.1</v>
      </c>
      <c r="K69" s="33"/>
      <c r="L69" s="33"/>
      <c r="M69" s="33"/>
      <c r="N69" s="51">
        <f>57767.9</f>
        <v>57767.9</v>
      </c>
      <c r="O69" s="51"/>
    </row>
    <row r="70" spans="1:15" s="1" customFormat="1" ht="13.5" customHeight="1">
      <c r="A70" s="32" t="s">
        <v>106</v>
      </c>
      <c r="B70" s="32"/>
      <c r="C70" s="32"/>
      <c r="D70" s="32"/>
      <c r="E70" s="32"/>
      <c r="F70" s="32"/>
      <c r="G70" s="17" t="s">
        <v>95</v>
      </c>
      <c r="H70" s="17" t="s">
        <v>134</v>
      </c>
      <c r="I70" s="18">
        <f>151000</f>
        <v>151000</v>
      </c>
      <c r="J70" s="33">
        <f>79609.47</f>
        <v>79609.47</v>
      </c>
      <c r="K70" s="33"/>
      <c r="L70" s="33"/>
      <c r="M70" s="33"/>
      <c r="N70" s="51">
        <f>71390.53</f>
        <v>71390.53</v>
      </c>
      <c r="O70" s="51"/>
    </row>
    <row r="71" spans="1:15" s="1" customFormat="1" ht="13.5" customHeight="1">
      <c r="A71" s="32" t="s">
        <v>125</v>
      </c>
      <c r="B71" s="32"/>
      <c r="C71" s="32"/>
      <c r="D71" s="32"/>
      <c r="E71" s="32"/>
      <c r="F71" s="32"/>
      <c r="G71" s="17" t="s">
        <v>95</v>
      </c>
      <c r="H71" s="17" t="s">
        <v>135</v>
      </c>
      <c r="I71" s="18">
        <f>280384.36</f>
        <v>280384.36</v>
      </c>
      <c r="J71" s="33">
        <f>145720.17</f>
        <v>145720.17</v>
      </c>
      <c r="K71" s="33"/>
      <c r="L71" s="33"/>
      <c r="M71" s="33"/>
      <c r="N71" s="51">
        <f>134664.19</f>
        <v>134664.19</v>
      </c>
      <c r="O71" s="51"/>
    </row>
    <row r="72" spans="1:15" s="1" customFormat="1" ht="13.5" customHeight="1">
      <c r="A72" s="32" t="s">
        <v>110</v>
      </c>
      <c r="B72" s="32"/>
      <c r="C72" s="32"/>
      <c r="D72" s="32"/>
      <c r="E72" s="32"/>
      <c r="F72" s="32"/>
      <c r="G72" s="17" t="s">
        <v>95</v>
      </c>
      <c r="H72" s="17" t="s">
        <v>136</v>
      </c>
      <c r="I72" s="18">
        <f>200000</f>
        <v>200000</v>
      </c>
      <c r="J72" s="33">
        <f>65155.5</f>
        <v>65155.5</v>
      </c>
      <c r="K72" s="33"/>
      <c r="L72" s="33"/>
      <c r="M72" s="33"/>
      <c r="N72" s="51">
        <f>134844.5</f>
        <v>134844.5</v>
      </c>
      <c r="O72" s="51"/>
    </row>
    <row r="73" spans="1:15" s="1" customFormat="1" ht="13.5" customHeight="1">
      <c r="A73" s="32" t="s">
        <v>96</v>
      </c>
      <c r="B73" s="32"/>
      <c r="C73" s="32"/>
      <c r="D73" s="32"/>
      <c r="E73" s="32"/>
      <c r="F73" s="32"/>
      <c r="G73" s="17" t="s">
        <v>95</v>
      </c>
      <c r="H73" s="17" t="s">
        <v>137</v>
      </c>
      <c r="I73" s="18">
        <f>540000</f>
        <v>540000</v>
      </c>
      <c r="J73" s="33">
        <f>229268.53</f>
        <v>229268.53</v>
      </c>
      <c r="K73" s="33"/>
      <c r="L73" s="33"/>
      <c r="M73" s="33"/>
      <c r="N73" s="51">
        <f>310731.47</f>
        <v>310731.47</v>
      </c>
      <c r="O73" s="51"/>
    </row>
    <row r="74" spans="1:15" s="1" customFormat="1" ht="13.5" customHeight="1">
      <c r="A74" s="32" t="s">
        <v>98</v>
      </c>
      <c r="B74" s="32"/>
      <c r="C74" s="32"/>
      <c r="D74" s="32"/>
      <c r="E74" s="32"/>
      <c r="F74" s="32"/>
      <c r="G74" s="17" t="s">
        <v>95</v>
      </c>
      <c r="H74" s="17" t="s">
        <v>138</v>
      </c>
      <c r="I74" s="18">
        <f>163000</f>
        <v>163000</v>
      </c>
      <c r="J74" s="33">
        <f>69189.57</f>
        <v>69189.57</v>
      </c>
      <c r="K74" s="33"/>
      <c r="L74" s="33"/>
      <c r="M74" s="33"/>
      <c r="N74" s="51">
        <f>93810.43</f>
        <v>93810.43</v>
      </c>
      <c r="O74" s="51"/>
    </row>
    <row r="75" spans="1:15" s="1" customFormat="1" ht="13.5" customHeight="1">
      <c r="A75" s="32" t="s">
        <v>116</v>
      </c>
      <c r="B75" s="32"/>
      <c r="C75" s="32"/>
      <c r="D75" s="32"/>
      <c r="E75" s="32"/>
      <c r="F75" s="32"/>
      <c r="G75" s="17" t="s">
        <v>95</v>
      </c>
      <c r="H75" s="17" t="s">
        <v>139</v>
      </c>
      <c r="I75" s="18">
        <f>17000</f>
        <v>17000</v>
      </c>
      <c r="J75" s="33">
        <f>8501.88</f>
        <v>8501.88</v>
      </c>
      <c r="K75" s="33"/>
      <c r="L75" s="33"/>
      <c r="M75" s="33"/>
      <c r="N75" s="51">
        <f>8498.12</f>
        <v>8498.12</v>
      </c>
      <c r="O75" s="51"/>
    </row>
    <row r="76" spans="1:15" s="1" customFormat="1" ht="13.5" customHeight="1">
      <c r="A76" s="32" t="s">
        <v>131</v>
      </c>
      <c r="B76" s="32"/>
      <c r="C76" s="32"/>
      <c r="D76" s="32"/>
      <c r="E76" s="32"/>
      <c r="F76" s="32"/>
      <c r="G76" s="17" t="s">
        <v>95</v>
      </c>
      <c r="H76" s="17" t="s">
        <v>140</v>
      </c>
      <c r="I76" s="18">
        <f>35000</f>
        <v>35000</v>
      </c>
      <c r="J76" s="33">
        <f>781.67</f>
        <v>781.67</v>
      </c>
      <c r="K76" s="33"/>
      <c r="L76" s="33"/>
      <c r="M76" s="33"/>
      <c r="N76" s="51">
        <f>34218.33</f>
        <v>34218.33</v>
      </c>
      <c r="O76" s="51"/>
    </row>
    <row r="77" spans="1:15" s="1" customFormat="1" ht="13.5" customHeight="1">
      <c r="A77" s="32" t="s">
        <v>120</v>
      </c>
      <c r="B77" s="32"/>
      <c r="C77" s="32"/>
      <c r="D77" s="32"/>
      <c r="E77" s="32"/>
      <c r="F77" s="32"/>
      <c r="G77" s="17" t="s">
        <v>95</v>
      </c>
      <c r="H77" s="17" t="s">
        <v>141</v>
      </c>
      <c r="I77" s="18">
        <f>3000</f>
        <v>3000</v>
      </c>
      <c r="J77" s="52" t="s">
        <v>47</v>
      </c>
      <c r="K77" s="52"/>
      <c r="L77" s="52"/>
      <c r="M77" s="52"/>
      <c r="N77" s="51">
        <f>3000</f>
        <v>3000</v>
      </c>
      <c r="O77" s="51"/>
    </row>
    <row r="78" spans="1:15" s="1" customFormat="1" ht="13.5" customHeight="1">
      <c r="A78" s="32" t="s">
        <v>106</v>
      </c>
      <c r="B78" s="32"/>
      <c r="C78" s="32"/>
      <c r="D78" s="32"/>
      <c r="E78" s="32"/>
      <c r="F78" s="32"/>
      <c r="G78" s="17" t="s">
        <v>95</v>
      </c>
      <c r="H78" s="17" t="s">
        <v>142</v>
      </c>
      <c r="I78" s="18">
        <f>7000</f>
        <v>7000</v>
      </c>
      <c r="J78" s="52" t="s">
        <v>47</v>
      </c>
      <c r="K78" s="52"/>
      <c r="L78" s="52"/>
      <c r="M78" s="52"/>
      <c r="N78" s="51">
        <f>7000</f>
        <v>7000</v>
      </c>
      <c r="O78" s="51"/>
    </row>
    <row r="79" spans="1:15" s="1" customFormat="1" ht="13.5" customHeight="1">
      <c r="A79" s="32" t="s">
        <v>125</v>
      </c>
      <c r="B79" s="32"/>
      <c r="C79" s="32"/>
      <c r="D79" s="32"/>
      <c r="E79" s="32"/>
      <c r="F79" s="32"/>
      <c r="G79" s="17" t="s">
        <v>95</v>
      </c>
      <c r="H79" s="17" t="s">
        <v>143</v>
      </c>
      <c r="I79" s="18">
        <f>23000</f>
        <v>23000</v>
      </c>
      <c r="J79" s="52" t="s">
        <v>47</v>
      </c>
      <c r="K79" s="52"/>
      <c r="L79" s="52"/>
      <c r="M79" s="52"/>
      <c r="N79" s="51">
        <f>23000</f>
        <v>23000</v>
      </c>
      <c r="O79" s="51"/>
    </row>
    <row r="80" spans="1:15" s="1" customFormat="1" ht="13.5" customHeight="1">
      <c r="A80" s="32" t="s">
        <v>96</v>
      </c>
      <c r="B80" s="32"/>
      <c r="C80" s="32"/>
      <c r="D80" s="32"/>
      <c r="E80" s="32"/>
      <c r="F80" s="32"/>
      <c r="G80" s="17" t="s">
        <v>95</v>
      </c>
      <c r="H80" s="17" t="s">
        <v>144</v>
      </c>
      <c r="I80" s="18">
        <f aca="true" t="shared" si="0" ref="I80:I88">0</f>
        <v>0</v>
      </c>
      <c r="J80" s="52" t="s">
        <v>47</v>
      </c>
      <c r="K80" s="52"/>
      <c r="L80" s="52"/>
      <c r="M80" s="52"/>
      <c r="N80" s="51">
        <f aca="true" t="shared" si="1" ref="N80:N88">0</f>
        <v>0</v>
      </c>
      <c r="O80" s="51"/>
    </row>
    <row r="81" spans="1:15" s="1" customFormat="1" ht="13.5" customHeight="1">
      <c r="A81" s="32" t="s">
        <v>98</v>
      </c>
      <c r="B81" s="32"/>
      <c r="C81" s="32"/>
      <c r="D81" s="32"/>
      <c r="E81" s="32"/>
      <c r="F81" s="32"/>
      <c r="G81" s="17" t="s">
        <v>95</v>
      </c>
      <c r="H81" s="17" t="s">
        <v>145</v>
      </c>
      <c r="I81" s="18">
        <f t="shared" si="0"/>
        <v>0</v>
      </c>
      <c r="J81" s="52" t="s">
        <v>47</v>
      </c>
      <c r="K81" s="52"/>
      <c r="L81" s="52"/>
      <c r="M81" s="52"/>
      <c r="N81" s="51">
        <f t="shared" si="1"/>
        <v>0</v>
      </c>
      <c r="O81" s="51"/>
    </row>
    <row r="82" spans="1:15" s="1" customFormat="1" ht="13.5" customHeight="1">
      <c r="A82" s="32" t="s">
        <v>116</v>
      </c>
      <c r="B82" s="32"/>
      <c r="C82" s="32"/>
      <c r="D82" s="32"/>
      <c r="E82" s="32"/>
      <c r="F82" s="32"/>
      <c r="G82" s="17" t="s">
        <v>95</v>
      </c>
      <c r="H82" s="17" t="s">
        <v>146</v>
      </c>
      <c r="I82" s="18">
        <f t="shared" si="0"/>
        <v>0</v>
      </c>
      <c r="J82" s="52" t="s">
        <v>47</v>
      </c>
      <c r="K82" s="52"/>
      <c r="L82" s="52"/>
      <c r="M82" s="52"/>
      <c r="N82" s="51">
        <f t="shared" si="1"/>
        <v>0</v>
      </c>
      <c r="O82" s="51"/>
    </row>
    <row r="83" spans="1:15" s="1" customFormat="1" ht="13.5" customHeight="1">
      <c r="A83" s="32" t="s">
        <v>104</v>
      </c>
      <c r="B83" s="32"/>
      <c r="C83" s="32"/>
      <c r="D83" s="32"/>
      <c r="E83" s="32"/>
      <c r="F83" s="32"/>
      <c r="G83" s="17" t="s">
        <v>95</v>
      </c>
      <c r="H83" s="17" t="s">
        <v>147</v>
      </c>
      <c r="I83" s="18">
        <f t="shared" si="0"/>
        <v>0</v>
      </c>
      <c r="J83" s="52" t="s">
        <v>47</v>
      </c>
      <c r="K83" s="52"/>
      <c r="L83" s="52"/>
      <c r="M83" s="52"/>
      <c r="N83" s="51">
        <f t="shared" si="1"/>
        <v>0</v>
      </c>
      <c r="O83" s="51"/>
    </row>
    <row r="84" spans="1:15" s="1" customFormat="1" ht="13.5" customHeight="1">
      <c r="A84" s="32" t="s">
        <v>106</v>
      </c>
      <c r="B84" s="32"/>
      <c r="C84" s="32"/>
      <c r="D84" s="32"/>
      <c r="E84" s="32"/>
      <c r="F84" s="32"/>
      <c r="G84" s="17" t="s">
        <v>95</v>
      </c>
      <c r="H84" s="17" t="s">
        <v>148</v>
      </c>
      <c r="I84" s="18">
        <f t="shared" si="0"/>
        <v>0</v>
      </c>
      <c r="J84" s="52" t="s">
        <v>47</v>
      </c>
      <c r="K84" s="52"/>
      <c r="L84" s="52"/>
      <c r="M84" s="52"/>
      <c r="N84" s="51">
        <f t="shared" si="1"/>
        <v>0</v>
      </c>
      <c r="O84" s="51"/>
    </row>
    <row r="85" spans="1:15" s="1" customFormat="1" ht="13.5" customHeight="1">
      <c r="A85" s="32" t="s">
        <v>123</v>
      </c>
      <c r="B85" s="32"/>
      <c r="C85" s="32"/>
      <c r="D85" s="32"/>
      <c r="E85" s="32"/>
      <c r="F85" s="32"/>
      <c r="G85" s="17" t="s">
        <v>95</v>
      </c>
      <c r="H85" s="17" t="s">
        <v>149</v>
      </c>
      <c r="I85" s="18">
        <f t="shared" si="0"/>
        <v>0</v>
      </c>
      <c r="J85" s="52" t="s">
        <v>47</v>
      </c>
      <c r="K85" s="52"/>
      <c r="L85" s="52"/>
      <c r="M85" s="52"/>
      <c r="N85" s="51">
        <f t="shared" si="1"/>
        <v>0</v>
      </c>
      <c r="O85" s="51"/>
    </row>
    <row r="86" spans="1:15" s="1" customFormat="1" ht="13.5" customHeight="1">
      <c r="A86" s="32" t="s">
        <v>125</v>
      </c>
      <c r="B86" s="32"/>
      <c r="C86" s="32"/>
      <c r="D86" s="32"/>
      <c r="E86" s="32"/>
      <c r="F86" s="32"/>
      <c r="G86" s="17" t="s">
        <v>95</v>
      </c>
      <c r="H86" s="17" t="s">
        <v>150</v>
      </c>
      <c r="I86" s="18">
        <f t="shared" si="0"/>
        <v>0</v>
      </c>
      <c r="J86" s="52" t="s">
        <v>47</v>
      </c>
      <c r="K86" s="52"/>
      <c r="L86" s="52"/>
      <c r="M86" s="52"/>
      <c r="N86" s="51">
        <f t="shared" si="1"/>
        <v>0</v>
      </c>
      <c r="O86" s="51"/>
    </row>
    <row r="87" spans="1:15" s="1" customFormat="1" ht="13.5" customHeight="1">
      <c r="A87" s="32" t="s">
        <v>123</v>
      </c>
      <c r="B87" s="32"/>
      <c r="C87" s="32"/>
      <c r="D87" s="32"/>
      <c r="E87" s="32"/>
      <c r="F87" s="32"/>
      <c r="G87" s="17" t="s">
        <v>95</v>
      </c>
      <c r="H87" s="17" t="s">
        <v>151</v>
      </c>
      <c r="I87" s="18">
        <f t="shared" si="0"/>
        <v>0</v>
      </c>
      <c r="J87" s="52" t="s">
        <v>47</v>
      </c>
      <c r="K87" s="52"/>
      <c r="L87" s="52"/>
      <c r="M87" s="52"/>
      <c r="N87" s="51">
        <f t="shared" si="1"/>
        <v>0</v>
      </c>
      <c r="O87" s="51"/>
    </row>
    <row r="88" spans="1:15" s="1" customFormat="1" ht="13.5" customHeight="1">
      <c r="A88" s="32" t="s">
        <v>125</v>
      </c>
      <c r="B88" s="32"/>
      <c r="C88" s="32"/>
      <c r="D88" s="32"/>
      <c r="E88" s="32"/>
      <c r="F88" s="32"/>
      <c r="G88" s="17" t="s">
        <v>95</v>
      </c>
      <c r="H88" s="17" t="s">
        <v>152</v>
      </c>
      <c r="I88" s="18">
        <f t="shared" si="0"/>
        <v>0</v>
      </c>
      <c r="J88" s="52" t="s">
        <v>47</v>
      </c>
      <c r="K88" s="52"/>
      <c r="L88" s="52"/>
      <c r="M88" s="52"/>
      <c r="N88" s="51">
        <f t="shared" si="1"/>
        <v>0</v>
      </c>
      <c r="O88" s="51"/>
    </row>
    <row r="89" spans="1:15" s="1" customFormat="1" ht="13.5" customHeight="1">
      <c r="A89" s="32" t="s">
        <v>96</v>
      </c>
      <c r="B89" s="32"/>
      <c r="C89" s="32"/>
      <c r="D89" s="32"/>
      <c r="E89" s="32"/>
      <c r="F89" s="32"/>
      <c r="G89" s="17" t="s">
        <v>95</v>
      </c>
      <c r="H89" s="17" t="s">
        <v>153</v>
      </c>
      <c r="I89" s="18">
        <f>37000</f>
        <v>37000</v>
      </c>
      <c r="J89" s="33">
        <f>23356.21</f>
        <v>23356.21</v>
      </c>
      <c r="K89" s="33"/>
      <c r="L89" s="33"/>
      <c r="M89" s="33"/>
      <c r="N89" s="51">
        <f>13643.79</f>
        <v>13643.79</v>
      </c>
      <c r="O89" s="51"/>
    </row>
    <row r="90" spans="1:15" s="1" customFormat="1" ht="13.5" customHeight="1">
      <c r="A90" s="32" t="s">
        <v>98</v>
      </c>
      <c r="B90" s="32"/>
      <c r="C90" s="32"/>
      <c r="D90" s="32"/>
      <c r="E90" s="32"/>
      <c r="F90" s="32"/>
      <c r="G90" s="17" t="s">
        <v>95</v>
      </c>
      <c r="H90" s="17" t="s">
        <v>154</v>
      </c>
      <c r="I90" s="18">
        <f>11000</f>
        <v>11000</v>
      </c>
      <c r="J90" s="33">
        <f>6000</f>
        <v>6000</v>
      </c>
      <c r="K90" s="33"/>
      <c r="L90" s="33"/>
      <c r="M90" s="33"/>
      <c r="N90" s="51">
        <f>5000</f>
        <v>5000</v>
      </c>
      <c r="O90" s="51"/>
    </row>
    <row r="91" spans="1:15" s="1" customFormat="1" ht="13.5" customHeight="1">
      <c r="A91" s="32" t="s">
        <v>116</v>
      </c>
      <c r="B91" s="32"/>
      <c r="C91" s="32"/>
      <c r="D91" s="32"/>
      <c r="E91" s="32"/>
      <c r="F91" s="32"/>
      <c r="G91" s="17" t="s">
        <v>95</v>
      </c>
      <c r="H91" s="17" t="s">
        <v>155</v>
      </c>
      <c r="I91" s="18">
        <f>3561.39</f>
        <v>3561.39</v>
      </c>
      <c r="J91" s="33">
        <f>3561.39</f>
        <v>3561.39</v>
      </c>
      <c r="K91" s="33"/>
      <c r="L91" s="33"/>
      <c r="M91" s="33"/>
      <c r="N91" s="51">
        <f>0</f>
        <v>0</v>
      </c>
      <c r="O91" s="51"/>
    </row>
    <row r="92" spans="1:15" s="1" customFormat="1" ht="13.5" customHeight="1">
      <c r="A92" s="32" t="s">
        <v>104</v>
      </c>
      <c r="B92" s="32"/>
      <c r="C92" s="32"/>
      <c r="D92" s="32"/>
      <c r="E92" s="32"/>
      <c r="F92" s="32"/>
      <c r="G92" s="17" t="s">
        <v>95</v>
      </c>
      <c r="H92" s="17" t="s">
        <v>156</v>
      </c>
      <c r="I92" s="18">
        <f>8700</f>
        <v>8700</v>
      </c>
      <c r="J92" s="33">
        <f>3280</f>
        <v>3280</v>
      </c>
      <c r="K92" s="33"/>
      <c r="L92" s="33"/>
      <c r="M92" s="33"/>
      <c r="N92" s="51">
        <f>5420</f>
        <v>5420</v>
      </c>
      <c r="O92" s="51"/>
    </row>
    <row r="93" spans="1:15" s="1" customFormat="1" ht="13.5" customHeight="1">
      <c r="A93" s="32" t="s">
        <v>106</v>
      </c>
      <c r="B93" s="32"/>
      <c r="C93" s="32"/>
      <c r="D93" s="32"/>
      <c r="E93" s="32"/>
      <c r="F93" s="32"/>
      <c r="G93" s="17" t="s">
        <v>95</v>
      </c>
      <c r="H93" s="17" t="s">
        <v>157</v>
      </c>
      <c r="I93" s="18">
        <f>6638.61</f>
        <v>6638.61</v>
      </c>
      <c r="J93" s="52" t="s">
        <v>47</v>
      </c>
      <c r="K93" s="52"/>
      <c r="L93" s="52"/>
      <c r="M93" s="52"/>
      <c r="N93" s="51">
        <f>6638.61</f>
        <v>6638.61</v>
      </c>
      <c r="O93" s="51"/>
    </row>
    <row r="94" spans="1:15" s="1" customFormat="1" ht="13.5" customHeight="1">
      <c r="A94" s="32" t="s">
        <v>123</v>
      </c>
      <c r="B94" s="32"/>
      <c r="C94" s="32"/>
      <c r="D94" s="32"/>
      <c r="E94" s="32"/>
      <c r="F94" s="32"/>
      <c r="G94" s="17" t="s">
        <v>95</v>
      </c>
      <c r="H94" s="17" t="s">
        <v>158</v>
      </c>
      <c r="I94" s="18">
        <f>20000</f>
        <v>20000</v>
      </c>
      <c r="J94" s="52" t="s">
        <v>47</v>
      </c>
      <c r="K94" s="52"/>
      <c r="L94" s="52"/>
      <c r="M94" s="52"/>
      <c r="N94" s="51">
        <f>20000</f>
        <v>20000</v>
      </c>
      <c r="O94" s="51"/>
    </row>
    <row r="95" spans="1:15" s="1" customFormat="1" ht="13.5" customHeight="1">
      <c r="A95" s="32" t="s">
        <v>125</v>
      </c>
      <c r="B95" s="32"/>
      <c r="C95" s="32"/>
      <c r="D95" s="32"/>
      <c r="E95" s="32"/>
      <c r="F95" s="32"/>
      <c r="G95" s="17" t="s">
        <v>95</v>
      </c>
      <c r="H95" s="17" t="s">
        <v>159</v>
      </c>
      <c r="I95" s="18">
        <f>13100</f>
        <v>13100</v>
      </c>
      <c r="J95" s="52" t="s">
        <v>47</v>
      </c>
      <c r="K95" s="52"/>
      <c r="L95" s="52"/>
      <c r="M95" s="52"/>
      <c r="N95" s="51">
        <f>13100</f>
        <v>13100</v>
      </c>
      <c r="O95" s="51"/>
    </row>
    <row r="96" spans="1:15" s="1" customFormat="1" ht="13.5" customHeight="1">
      <c r="A96" s="32" t="s">
        <v>123</v>
      </c>
      <c r="B96" s="32"/>
      <c r="C96" s="32"/>
      <c r="D96" s="32"/>
      <c r="E96" s="32"/>
      <c r="F96" s="32"/>
      <c r="G96" s="17" t="s">
        <v>95</v>
      </c>
      <c r="H96" s="17" t="s">
        <v>160</v>
      </c>
      <c r="I96" s="18">
        <f>15000</f>
        <v>15000</v>
      </c>
      <c r="J96" s="52" t="s">
        <v>47</v>
      </c>
      <c r="K96" s="52"/>
      <c r="L96" s="52"/>
      <c r="M96" s="52"/>
      <c r="N96" s="51">
        <f>15000</f>
        <v>15000</v>
      </c>
      <c r="O96" s="51"/>
    </row>
    <row r="97" spans="1:15" s="1" customFormat="1" ht="13.5" customHeight="1">
      <c r="A97" s="32" t="s">
        <v>125</v>
      </c>
      <c r="B97" s="32"/>
      <c r="C97" s="32"/>
      <c r="D97" s="32"/>
      <c r="E97" s="32"/>
      <c r="F97" s="32"/>
      <c r="G97" s="17" t="s">
        <v>95</v>
      </c>
      <c r="H97" s="17" t="s">
        <v>161</v>
      </c>
      <c r="I97" s="18">
        <f>20000</f>
        <v>20000</v>
      </c>
      <c r="J97" s="33">
        <f>9016</f>
        <v>9016</v>
      </c>
      <c r="K97" s="33"/>
      <c r="L97" s="33"/>
      <c r="M97" s="33"/>
      <c r="N97" s="51">
        <f>10984</f>
        <v>10984</v>
      </c>
      <c r="O97" s="51"/>
    </row>
    <row r="98" spans="1:15" s="1" customFormat="1" ht="13.5" customHeight="1">
      <c r="A98" s="32" t="s">
        <v>123</v>
      </c>
      <c r="B98" s="32"/>
      <c r="C98" s="32"/>
      <c r="D98" s="32"/>
      <c r="E98" s="32"/>
      <c r="F98" s="32"/>
      <c r="G98" s="17" t="s">
        <v>95</v>
      </c>
      <c r="H98" s="17" t="s">
        <v>162</v>
      </c>
      <c r="I98" s="18">
        <f>25700</f>
        <v>25700</v>
      </c>
      <c r="J98" s="33">
        <f>25700</f>
        <v>25700</v>
      </c>
      <c r="K98" s="33"/>
      <c r="L98" s="33"/>
      <c r="M98" s="33"/>
      <c r="N98" s="51">
        <f>0</f>
        <v>0</v>
      </c>
      <c r="O98" s="51"/>
    </row>
    <row r="99" spans="1:15" s="1" customFormat="1" ht="13.5" customHeight="1">
      <c r="A99" s="32" t="s">
        <v>125</v>
      </c>
      <c r="B99" s="32"/>
      <c r="C99" s="32"/>
      <c r="D99" s="32"/>
      <c r="E99" s="32"/>
      <c r="F99" s="32"/>
      <c r="G99" s="17" t="s">
        <v>95</v>
      </c>
      <c r="H99" s="17" t="s">
        <v>163</v>
      </c>
      <c r="I99" s="18">
        <f>24000</f>
        <v>24000</v>
      </c>
      <c r="J99" s="33">
        <f>24000</f>
        <v>24000</v>
      </c>
      <c r="K99" s="33"/>
      <c r="L99" s="33"/>
      <c r="M99" s="33"/>
      <c r="N99" s="51">
        <f>0</f>
        <v>0</v>
      </c>
      <c r="O99" s="51"/>
    </row>
    <row r="100" spans="1:15" s="1" customFormat="1" ht="13.5" customHeight="1">
      <c r="A100" s="32" t="s">
        <v>125</v>
      </c>
      <c r="B100" s="32"/>
      <c r="C100" s="32"/>
      <c r="D100" s="32"/>
      <c r="E100" s="32"/>
      <c r="F100" s="32"/>
      <c r="G100" s="17" t="s">
        <v>95</v>
      </c>
      <c r="H100" s="17" t="s">
        <v>164</v>
      </c>
      <c r="I100" s="18">
        <f>5500</f>
        <v>5500</v>
      </c>
      <c r="J100" s="33">
        <f>5500</f>
        <v>5500</v>
      </c>
      <c r="K100" s="33"/>
      <c r="L100" s="33"/>
      <c r="M100" s="33"/>
      <c r="N100" s="51">
        <f>0</f>
        <v>0</v>
      </c>
      <c r="O100" s="51"/>
    </row>
    <row r="101" spans="1:15" s="1" customFormat="1" ht="13.5" customHeight="1">
      <c r="A101" s="32" t="s">
        <v>120</v>
      </c>
      <c r="B101" s="32"/>
      <c r="C101" s="32"/>
      <c r="D101" s="32"/>
      <c r="E101" s="32"/>
      <c r="F101" s="32"/>
      <c r="G101" s="17" t="s">
        <v>95</v>
      </c>
      <c r="H101" s="17" t="s">
        <v>165</v>
      </c>
      <c r="I101" s="18">
        <f>270000</f>
        <v>270000</v>
      </c>
      <c r="J101" s="33">
        <f>268650</f>
        <v>268650</v>
      </c>
      <c r="K101" s="33"/>
      <c r="L101" s="33"/>
      <c r="M101" s="33"/>
      <c r="N101" s="51">
        <f>1350</f>
        <v>1350</v>
      </c>
      <c r="O101" s="51"/>
    </row>
    <row r="102" spans="1:15" s="1" customFormat="1" ht="13.5" customHeight="1">
      <c r="A102" s="32" t="s">
        <v>120</v>
      </c>
      <c r="B102" s="32"/>
      <c r="C102" s="32"/>
      <c r="D102" s="32"/>
      <c r="E102" s="32"/>
      <c r="F102" s="32"/>
      <c r="G102" s="17" t="s">
        <v>95</v>
      </c>
      <c r="H102" s="17" t="s">
        <v>166</v>
      </c>
      <c r="I102" s="18">
        <f>100000</f>
        <v>100000</v>
      </c>
      <c r="J102" s="33">
        <f>52635</f>
        <v>52635</v>
      </c>
      <c r="K102" s="33"/>
      <c r="L102" s="33"/>
      <c r="M102" s="33"/>
      <c r="N102" s="51">
        <f>47365</f>
        <v>47365</v>
      </c>
      <c r="O102" s="51"/>
    </row>
    <row r="103" spans="1:15" s="1" customFormat="1" ht="13.5" customHeight="1">
      <c r="A103" s="32" t="s">
        <v>106</v>
      </c>
      <c r="B103" s="32"/>
      <c r="C103" s="32"/>
      <c r="D103" s="32"/>
      <c r="E103" s="32"/>
      <c r="F103" s="32"/>
      <c r="G103" s="17" t="s">
        <v>95</v>
      </c>
      <c r="H103" s="17" t="s">
        <v>167</v>
      </c>
      <c r="I103" s="18">
        <f>162000</f>
        <v>162000</v>
      </c>
      <c r="J103" s="33">
        <f>89918.8</f>
        <v>89918.8</v>
      </c>
      <c r="K103" s="33"/>
      <c r="L103" s="33"/>
      <c r="M103" s="33"/>
      <c r="N103" s="51">
        <f>72081.2</f>
        <v>72081.2</v>
      </c>
      <c r="O103" s="51"/>
    </row>
    <row r="104" spans="1:15" s="1" customFormat="1" ht="13.5" customHeight="1">
      <c r="A104" s="32" t="s">
        <v>125</v>
      </c>
      <c r="B104" s="32"/>
      <c r="C104" s="32"/>
      <c r="D104" s="32"/>
      <c r="E104" s="32"/>
      <c r="F104" s="32"/>
      <c r="G104" s="17" t="s">
        <v>95</v>
      </c>
      <c r="H104" s="17" t="s">
        <v>168</v>
      </c>
      <c r="I104" s="18">
        <f>0</f>
        <v>0</v>
      </c>
      <c r="J104" s="52" t="s">
        <v>47</v>
      </c>
      <c r="K104" s="52"/>
      <c r="L104" s="52"/>
      <c r="M104" s="52"/>
      <c r="N104" s="51">
        <f>0</f>
        <v>0</v>
      </c>
      <c r="O104" s="51"/>
    </row>
    <row r="105" spans="1:15" s="1" customFormat="1" ht="13.5" customHeight="1">
      <c r="A105" s="32" t="s">
        <v>125</v>
      </c>
      <c r="B105" s="32"/>
      <c r="C105" s="32"/>
      <c r="D105" s="32"/>
      <c r="E105" s="32"/>
      <c r="F105" s="32"/>
      <c r="G105" s="17" t="s">
        <v>95</v>
      </c>
      <c r="H105" s="17" t="s">
        <v>169</v>
      </c>
      <c r="I105" s="18">
        <f>0</f>
        <v>0</v>
      </c>
      <c r="J105" s="52" t="s">
        <v>47</v>
      </c>
      <c r="K105" s="52"/>
      <c r="L105" s="52"/>
      <c r="M105" s="52"/>
      <c r="N105" s="51">
        <f>0</f>
        <v>0</v>
      </c>
      <c r="O105" s="51"/>
    </row>
    <row r="106" spans="1:15" s="1" customFormat="1" ht="13.5" customHeight="1">
      <c r="A106" s="32" t="s">
        <v>106</v>
      </c>
      <c r="B106" s="32"/>
      <c r="C106" s="32"/>
      <c r="D106" s="32"/>
      <c r="E106" s="32"/>
      <c r="F106" s="32"/>
      <c r="G106" s="17" t="s">
        <v>95</v>
      </c>
      <c r="H106" s="17" t="s">
        <v>170</v>
      </c>
      <c r="I106" s="18">
        <f>2609076</f>
        <v>2609076</v>
      </c>
      <c r="J106" s="33">
        <f>1933431.62</f>
        <v>1933431.62</v>
      </c>
      <c r="K106" s="33"/>
      <c r="L106" s="33"/>
      <c r="M106" s="33"/>
      <c r="N106" s="51">
        <f>675644.38</f>
        <v>675644.38</v>
      </c>
      <c r="O106" s="51"/>
    </row>
    <row r="107" spans="1:15" s="1" customFormat="1" ht="13.5" customHeight="1">
      <c r="A107" s="32" t="s">
        <v>106</v>
      </c>
      <c r="B107" s="32"/>
      <c r="C107" s="32"/>
      <c r="D107" s="32"/>
      <c r="E107" s="32"/>
      <c r="F107" s="32"/>
      <c r="G107" s="17" t="s">
        <v>95</v>
      </c>
      <c r="H107" s="17" t="s">
        <v>171</v>
      </c>
      <c r="I107" s="18">
        <f>13428.97</f>
        <v>13428.97</v>
      </c>
      <c r="J107" s="33">
        <f>13428.97</f>
        <v>13428.97</v>
      </c>
      <c r="K107" s="33"/>
      <c r="L107" s="33"/>
      <c r="M107" s="33"/>
      <c r="N107" s="51">
        <f>0</f>
        <v>0</v>
      </c>
      <c r="O107" s="51"/>
    </row>
    <row r="108" spans="1:15" s="1" customFormat="1" ht="24" customHeight="1">
      <c r="A108" s="32" t="s">
        <v>172</v>
      </c>
      <c r="B108" s="32"/>
      <c r="C108" s="32"/>
      <c r="D108" s="32"/>
      <c r="E108" s="32"/>
      <c r="F108" s="32"/>
      <c r="G108" s="17" t="s">
        <v>95</v>
      </c>
      <c r="H108" s="17" t="s">
        <v>173</v>
      </c>
      <c r="I108" s="18">
        <f>950000</f>
        <v>950000</v>
      </c>
      <c r="J108" s="33">
        <f>622098</f>
        <v>622098</v>
      </c>
      <c r="K108" s="33"/>
      <c r="L108" s="33"/>
      <c r="M108" s="33"/>
      <c r="N108" s="51">
        <f>327902</f>
        <v>327902</v>
      </c>
      <c r="O108" s="51"/>
    </row>
    <row r="109" spans="1:15" s="1" customFormat="1" ht="24" customHeight="1">
      <c r="A109" s="32" t="s">
        <v>172</v>
      </c>
      <c r="B109" s="32"/>
      <c r="C109" s="32"/>
      <c r="D109" s="32"/>
      <c r="E109" s="32"/>
      <c r="F109" s="32"/>
      <c r="G109" s="17" t="s">
        <v>95</v>
      </c>
      <c r="H109" s="17" t="s">
        <v>174</v>
      </c>
      <c r="I109" s="18">
        <f>0</f>
        <v>0</v>
      </c>
      <c r="J109" s="33">
        <f>0</f>
        <v>0</v>
      </c>
      <c r="K109" s="33"/>
      <c r="L109" s="33"/>
      <c r="M109" s="33"/>
      <c r="N109" s="51">
        <f>0</f>
        <v>0</v>
      </c>
      <c r="O109" s="51"/>
    </row>
    <row r="110" spans="1:15" s="1" customFormat="1" ht="13.5" customHeight="1">
      <c r="A110" s="32" t="s">
        <v>120</v>
      </c>
      <c r="B110" s="32"/>
      <c r="C110" s="32"/>
      <c r="D110" s="32"/>
      <c r="E110" s="32"/>
      <c r="F110" s="32"/>
      <c r="G110" s="17" t="s">
        <v>95</v>
      </c>
      <c r="H110" s="17" t="s">
        <v>175</v>
      </c>
      <c r="I110" s="18">
        <f>3903082.04</f>
        <v>3903082.04</v>
      </c>
      <c r="J110" s="33">
        <f>3469412.27</f>
        <v>3469412.27</v>
      </c>
      <c r="K110" s="33"/>
      <c r="L110" s="33"/>
      <c r="M110" s="33"/>
      <c r="N110" s="51">
        <f>433669.77</f>
        <v>433669.77</v>
      </c>
      <c r="O110" s="51"/>
    </row>
    <row r="111" spans="1:15" s="1" customFormat="1" ht="13.5" customHeight="1">
      <c r="A111" s="32" t="s">
        <v>125</v>
      </c>
      <c r="B111" s="32"/>
      <c r="C111" s="32"/>
      <c r="D111" s="32"/>
      <c r="E111" s="32"/>
      <c r="F111" s="32"/>
      <c r="G111" s="17" t="s">
        <v>95</v>
      </c>
      <c r="H111" s="17" t="s">
        <v>176</v>
      </c>
      <c r="I111" s="18">
        <f>0</f>
        <v>0</v>
      </c>
      <c r="J111" s="52" t="s">
        <v>47</v>
      </c>
      <c r="K111" s="52"/>
      <c r="L111" s="52"/>
      <c r="M111" s="52"/>
      <c r="N111" s="51">
        <f>0</f>
        <v>0</v>
      </c>
      <c r="O111" s="51"/>
    </row>
    <row r="112" spans="1:15" s="1" customFormat="1" ht="13.5" customHeight="1">
      <c r="A112" s="32" t="s">
        <v>120</v>
      </c>
      <c r="B112" s="32"/>
      <c r="C112" s="32"/>
      <c r="D112" s="32"/>
      <c r="E112" s="32"/>
      <c r="F112" s="32"/>
      <c r="G112" s="17" t="s">
        <v>95</v>
      </c>
      <c r="H112" s="17" t="s">
        <v>177</v>
      </c>
      <c r="I112" s="18">
        <f>0</f>
        <v>0</v>
      </c>
      <c r="J112" s="52" t="s">
        <v>47</v>
      </c>
      <c r="K112" s="52"/>
      <c r="L112" s="52"/>
      <c r="M112" s="52"/>
      <c r="N112" s="51">
        <f>0</f>
        <v>0</v>
      </c>
      <c r="O112" s="51"/>
    </row>
    <row r="113" spans="1:15" s="1" customFormat="1" ht="13.5" customHeight="1">
      <c r="A113" s="32" t="s">
        <v>123</v>
      </c>
      <c r="B113" s="32"/>
      <c r="C113" s="32"/>
      <c r="D113" s="32"/>
      <c r="E113" s="32"/>
      <c r="F113" s="32"/>
      <c r="G113" s="17" t="s">
        <v>95</v>
      </c>
      <c r="H113" s="17" t="s">
        <v>178</v>
      </c>
      <c r="I113" s="18">
        <f>366166</f>
        <v>366166</v>
      </c>
      <c r="J113" s="33">
        <f>366160</f>
        <v>366160</v>
      </c>
      <c r="K113" s="33"/>
      <c r="L113" s="33"/>
      <c r="M113" s="33"/>
      <c r="N113" s="51">
        <f>6</f>
        <v>6</v>
      </c>
      <c r="O113" s="51"/>
    </row>
    <row r="114" spans="1:15" s="1" customFormat="1" ht="13.5" customHeight="1">
      <c r="A114" s="32" t="s">
        <v>125</v>
      </c>
      <c r="B114" s="32"/>
      <c r="C114" s="32"/>
      <c r="D114" s="32"/>
      <c r="E114" s="32"/>
      <c r="F114" s="32"/>
      <c r="G114" s="17" t="s">
        <v>95</v>
      </c>
      <c r="H114" s="17" t="s">
        <v>179</v>
      </c>
      <c r="I114" s="18">
        <f>167319</f>
        <v>167319</v>
      </c>
      <c r="J114" s="33">
        <f>167319</f>
        <v>167319</v>
      </c>
      <c r="K114" s="33"/>
      <c r="L114" s="33"/>
      <c r="M114" s="33"/>
      <c r="N114" s="51">
        <f>0</f>
        <v>0</v>
      </c>
      <c r="O114" s="51"/>
    </row>
    <row r="115" spans="1:15" s="1" customFormat="1" ht="13.5" customHeight="1">
      <c r="A115" s="32" t="s">
        <v>120</v>
      </c>
      <c r="B115" s="32"/>
      <c r="C115" s="32"/>
      <c r="D115" s="32"/>
      <c r="E115" s="32"/>
      <c r="F115" s="32"/>
      <c r="G115" s="17" t="s">
        <v>95</v>
      </c>
      <c r="H115" s="17" t="s">
        <v>180</v>
      </c>
      <c r="I115" s="18">
        <f>0</f>
        <v>0</v>
      </c>
      <c r="J115" s="33">
        <f>0</f>
        <v>0</v>
      </c>
      <c r="K115" s="33"/>
      <c r="L115" s="33"/>
      <c r="M115" s="33"/>
      <c r="N115" s="51">
        <f>0</f>
        <v>0</v>
      </c>
      <c r="O115" s="51"/>
    </row>
    <row r="116" spans="1:15" s="1" customFormat="1" ht="13.5" customHeight="1">
      <c r="A116" s="32" t="s">
        <v>108</v>
      </c>
      <c r="B116" s="32"/>
      <c r="C116" s="32"/>
      <c r="D116" s="32"/>
      <c r="E116" s="32"/>
      <c r="F116" s="32"/>
      <c r="G116" s="17" t="s">
        <v>95</v>
      </c>
      <c r="H116" s="17" t="s">
        <v>181</v>
      </c>
      <c r="I116" s="18">
        <f>775000</f>
        <v>775000</v>
      </c>
      <c r="J116" s="33">
        <f>775000</f>
        <v>775000</v>
      </c>
      <c r="K116" s="33"/>
      <c r="L116" s="33"/>
      <c r="M116" s="33"/>
      <c r="N116" s="51">
        <f>0</f>
        <v>0</v>
      </c>
      <c r="O116" s="51"/>
    </row>
    <row r="117" spans="1:15" s="1" customFormat="1" ht="13.5" customHeight="1">
      <c r="A117" s="32" t="s">
        <v>108</v>
      </c>
      <c r="B117" s="32"/>
      <c r="C117" s="32"/>
      <c r="D117" s="32"/>
      <c r="E117" s="32"/>
      <c r="F117" s="32"/>
      <c r="G117" s="17">
        <v>200</v>
      </c>
      <c r="H117" s="67" t="s">
        <v>282</v>
      </c>
      <c r="I117" s="18">
        <v>24528</v>
      </c>
      <c r="J117" s="68"/>
      <c r="K117" s="69"/>
      <c r="L117" s="69"/>
      <c r="M117" s="70"/>
      <c r="N117" s="71">
        <f>I117-J117</f>
        <v>24528</v>
      </c>
      <c r="O117" s="72"/>
    </row>
    <row r="118" spans="1:15" s="1" customFormat="1" ht="13.5" customHeight="1">
      <c r="A118" s="32" t="s">
        <v>116</v>
      </c>
      <c r="B118" s="32"/>
      <c r="C118" s="32"/>
      <c r="D118" s="32"/>
      <c r="E118" s="32"/>
      <c r="F118" s="32"/>
      <c r="G118" s="17" t="s">
        <v>95</v>
      </c>
      <c r="H118" s="17" t="s">
        <v>182</v>
      </c>
      <c r="I118" s="18">
        <f>190000</f>
        <v>190000</v>
      </c>
      <c r="J118" s="33">
        <f>102422.42</f>
        <v>102422.42</v>
      </c>
      <c r="K118" s="33"/>
      <c r="L118" s="33"/>
      <c r="M118" s="33"/>
      <c r="N118" s="51">
        <f>87577.58</f>
        <v>87577.58</v>
      </c>
      <c r="O118" s="51"/>
    </row>
    <row r="119" spans="1:15" s="1" customFormat="1" ht="13.5" customHeight="1">
      <c r="A119" s="32" t="s">
        <v>106</v>
      </c>
      <c r="B119" s="32"/>
      <c r="C119" s="32"/>
      <c r="D119" s="32"/>
      <c r="E119" s="32"/>
      <c r="F119" s="32"/>
      <c r="G119" s="17" t="s">
        <v>95</v>
      </c>
      <c r="H119" s="17" t="s">
        <v>183</v>
      </c>
      <c r="I119" s="18">
        <f>299882.8</f>
        <v>299882.8</v>
      </c>
      <c r="J119" s="33">
        <f>150212.92</f>
        <v>150212.92</v>
      </c>
      <c r="K119" s="33"/>
      <c r="L119" s="33"/>
      <c r="M119" s="33"/>
      <c r="N119" s="51">
        <f>149669.88</f>
        <v>149669.88</v>
      </c>
      <c r="O119" s="51"/>
    </row>
    <row r="120" spans="1:15" s="1" customFormat="1" ht="13.5" customHeight="1">
      <c r="A120" s="32" t="s">
        <v>106</v>
      </c>
      <c r="B120" s="32"/>
      <c r="C120" s="32"/>
      <c r="D120" s="32"/>
      <c r="E120" s="32"/>
      <c r="F120" s="32"/>
      <c r="G120" s="17" t="s">
        <v>95</v>
      </c>
      <c r="H120" s="17" t="s">
        <v>184</v>
      </c>
      <c r="I120" s="18">
        <f>148000</f>
        <v>148000</v>
      </c>
      <c r="J120" s="33">
        <f>51750</f>
        <v>51750</v>
      </c>
      <c r="K120" s="33"/>
      <c r="L120" s="33"/>
      <c r="M120" s="33"/>
      <c r="N120" s="51">
        <f>96250</f>
        <v>96250</v>
      </c>
      <c r="O120" s="51"/>
    </row>
    <row r="121" spans="1:15" s="1" customFormat="1" ht="13.5" customHeight="1">
      <c r="A121" s="32" t="s">
        <v>120</v>
      </c>
      <c r="B121" s="32"/>
      <c r="C121" s="32"/>
      <c r="D121" s="32"/>
      <c r="E121" s="32"/>
      <c r="F121" s="32"/>
      <c r="G121" s="17" t="s">
        <v>95</v>
      </c>
      <c r="H121" s="17" t="s">
        <v>185</v>
      </c>
      <c r="I121" s="18">
        <f>500000</f>
        <v>500000</v>
      </c>
      <c r="J121" s="52" t="s">
        <v>47</v>
      </c>
      <c r="K121" s="52"/>
      <c r="L121" s="52"/>
      <c r="M121" s="52"/>
      <c r="N121" s="51">
        <f>500000</f>
        <v>500000</v>
      </c>
      <c r="O121" s="51"/>
    </row>
    <row r="122" spans="1:15" s="1" customFormat="1" ht="24" customHeight="1">
      <c r="A122" s="32" t="s">
        <v>172</v>
      </c>
      <c r="B122" s="32"/>
      <c r="C122" s="32"/>
      <c r="D122" s="32"/>
      <c r="E122" s="32"/>
      <c r="F122" s="32"/>
      <c r="G122" s="17" t="s">
        <v>95</v>
      </c>
      <c r="H122" s="17" t="s">
        <v>186</v>
      </c>
      <c r="I122" s="18">
        <f>59720</f>
        <v>59720</v>
      </c>
      <c r="J122" s="33">
        <f>52892</f>
        <v>52892</v>
      </c>
      <c r="K122" s="33"/>
      <c r="L122" s="33"/>
      <c r="M122" s="33"/>
      <c r="N122" s="51">
        <f>6828</f>
        <v>6828</v>
      </c>
      <c r="O122" s="51"/>
    </row>
    <row r="123" spans="1:15" s="1" customFormat="1" ht="24" customHeight="1">
      <c r="A123" s="32" t="s">
        <v>172</v>
      </c>
      <c r="B123" s="32"/>
      <c r="C123" s="32"/>
      <c r="D123" s="32"/>
      <c r="E123" s="32"/>
      <c r="F123" s="32"/>
      <c r="G123" s="17" t="s">
        <v>95</v>
      </c>
      <c r="H123" s="17" t="s">
        <v>187</v>
      </c>
      <c r="I123" s="18">
        <f>600000</f>
        <v>600000</v>
      </c>
      <c r="J123" s="33">
        <f>380578</f>
        <v>380578</v>
      </c>
      <c r="K123" s="33"/>
      <c r="L123" s="33"/>
      <c r="M123" s="33"/>
      <c r="N123" s="51">
        <f>219422</f>
        <v>219422</v>
      </c>
      <c r="O123" s="51"/>
    </row>
    <row r="124" spans="1:15" s="1" customFormat="1" ht="13.5" customHeight="1">
      <c r="A124" s="32" t="s">
        <v>108</v>
      </c>
      <c r="B124" s="32"/>
      <c r="C124" s="32"/>
      <c r="D124" s="32"/>
      <c r="E124" s="32"/>
      <c r="F124" s="32"/>
      <c r="G124" s="17" t="s">
        <v>95</v>
      </c>
      <c r="H124" s="17" t="s">
        <v>188</v>
      </c>
      <c r="I124" s="18">
        <f>837900</f>
        <v>837900</v>
      </c>
      <c r="J124" s="52" t="s">
        <v>47</v>
      </c>
      <c r="K124" s="52"/>
      <c r="L124" s="52"/>
      <c r="M124" s="52"/>
      <c r="N124" s="51">
        <f>837900</f>
        <v>837900</v>
      </c>
      <c r="O124" s="51"/>
    </row>
    <row r="125" spans="1:15" s="1" customFormat="1" ht="13.5" customHeight="1">
      <c r="A125" s="32" t="s">
        <v>108</v>
      </c>
      <c r="B125" s="32"/>
      <c r="C125" s="32"/>
      <c r="D125" s="32"/>
      <c r="E125" s="32"/>
      <c r="F125" s="32"/>
      <c r="G125" s="17" t="s">
        <v>95</v>
      </c>
      <c r="H125" s="17" t="s">
        <v>189</v>
      </c>
      <c r="I125" s="18">
        <f>3499820</f>
        <v>3499820</v>
      </c>
      <c r="J125" s="33">
        <f>2009488</f>
        <v>2009488</v>
      </c>
      <c r="K125" s="33"/>
      <c r="L125" s="33"/>
      <c r="M125" s="33"/>
      <c r="N125" s="51">
        <f>1490332</f>
        <v>1490332</v>
      </c>
      <c r="O125" s="51"/>
    </row>
    <row r="126" spans="1:15" s="1" customFormat="1" ht="13.5" customHeight="1">
      <c r="A126" s="32" t="s">
        <v>108</v>
      </c>
      <c r="B126" s="32"/>
      <c r="C126" s="32"/>
      <c r="D126" s="32"/>
      <c r="E126" s="32"/>
      <c r="F126" s="32"/>
      <c r="G126" s="17" t="s">
        <v>95</v>
      </c>
      <c r="H126" s="17" t="s">
        <v>190</v>
      </c>
      <c r="I126" s="18">
        <f>44100</f>
        <v>44100</v>
      </c>
      <c r="J126" s="52" t="s">
        <v>47</v>
      </c>
      <c r="K126" s="52"/>
      <c r="L126" s="52"/>
      <c r="M126" s="52"/>
      <c r="N126" s="51">
        <f>44100</f>
        <v>44100</v>
      </c>
      <c r="O126" s="51"/>
    </row>
    <row r="127" spans="1:15" s="1" customFormat="1" ht="24" customHeight="1">
      <c r="A127" s="32" t="s">
        <v>172</v>
      </c>
      <c r="B127" s="32"/>
      <c r="C127" s="32"/>
      <c r="D127" s="32"/>
      <c r="E127" s="32"/>
      <c r="F127" s="32"/>
      <c r="G127" s="17" t="s">
        <v>95</v>
      </c>
      <c r="H127" s="17" t="s">
        <v>191</v>
      </c>
      <c r="I127" s="18">
        <f>1000000</f>
        <v>1000000</v>
      </c>
      <c r="J127" s="33">
        <f>1000000</f>
        <v>1000000</v>
      </c>
      <c r="K127" s="33"/>
      <c r="L127" s="33"/>
      <c r="M127" s="33"/>
      <c r="N127" s="51">
        <f>0</f>
        <v>0</v>
      </c>
      <c r="O127" s="51"/>
    </row>
    <row r="128" spans="1:15" s="1" customFormat="1" ht="13.5" customHeight="1">
      <c r="A128" s="32" t="s">
        <v>120</v>
      </c>
      <c r="B128" s="32"/>
      <c r="C128" s="32"/>
      <c r="D128" s="32"/>
      <c r="E128" s="32"/>
      <c r="F128" s="32"/>
      <c r="G128" s="17" t="s">
        <v>95</v>
      </c>
      <c r="H128" s="17" t="s">
        <v>192</v>
      </c>
      <c r="I128" s="18">
        <f>2357815</f>
        <v>2357815</v>
      </c>
      <c r="J128" s="33">
        <f>1943265.26</f>
        <v>1943265.26</v>
      </c>
      <c r="K128" s="33"/>
      <c r="L128" s="33"/>
      <c r="M128" s="33"/>
      <c r="N128" s="51">
        <f>414549.74</f>
        <v>414549.74</v>
      </c>
      <c r="O128" s="51"/>
    </row>
    <row r="129" spans="1:15" s="1" customFormat="1" ht="13.5" customHeight="1">
      <c r="A129" s="32" t="s">
        <v>120</v>
      </c>
      <c r="B129" s="32"/>
      <c r="C129" s="32"/>
      <c r="D129" s="32"/>
      <c r="E129" s="32"/>
      <c r="F129" s="32"/>
      <c r="G129" s="17" t="s">
        <v>95</v>
      </c>
      <c r="H129" s="17" t="s">
        <v>193</v>
      </c>
      <c r="I129" s="18">
        <f>308000</f>
        <v>308000</v>
      </c>
      <c r="J129" s="33">
        <f>306460</f>
        <v>306460</v>
      </c>
      <c r="K129" s="33"/>
      <c r="L129" s="33"/>
      <c r="M129" s="33"/>
      <c r="N129" s="51">
        <f>1540</f>
        <v>1540</v>
      </c>
      <c r="O129" s="51"/>
    </row>
    <row r="130" spans="1:15" s="1" customFormat="1" ht="13.5" customHeight="1">
      <c r="A130" s="32" t="s">
        <v>120</v>
      </c>
      <c r="B130" s="32"/>
      <c r="C130" s="32"/>
      <c r="D130" s="32"/>
      <c r="E130" s="32"/>
      <c r="F130" s="32"/>
      <c r="G130" s="17" t="s">
        <v>95</v>
      </c>
      <c r="H130" s="17" t="s">
        <v>194</v>
      </c>
      <c r="I130" s="18">
        <f>778248</f>
        <v>778248</v>
      </c>
      <c r="J130" s="33">
        <f>440768.72</f>
        <v>440768.72</v>
      </c>
      <c r="K130" s="33"/>
      <c r="L130" s="33"/>
      <c r="M130" s="33"/>
      <c r="N130" s="51">
        <f>337479.28</f>
        <v>337479.28</v>
      </c>
      <c r="O130" s="51"/>
    </row>
    <row r="131" spans="1:15" s="1" customFormat="1" ht="13.5" customHeight="1">
      <c r="A131" s="32" t="s">
        <v>125</v>
      </c>
      <c r="B131" s="32"/>
      <c r="C131" s="32"/>
      <c r="D131" s="32"/>
      <c r="E131" s="32"/>
      <c r="F131" s="32"/>
      <c r="G131" s="17" t="s">
        <v>95</v>
      </c>
      <c r="H131" s="17" t="s">
        <v>195</v>
      </c>
      <c r="I131" s="18">
        <f>50000</f>
        <v>50000</v>
      </c>
      <c r="J131" s="33">
        <f>50000</f>
        <v>50000</v>
      </c>
      <c r="K131" s="33"/>
      <c r="L131" s="33"/>
      <c r="M131" s="33"/>
      <c r="N131" s="51">
        <f>0</f>
        <v>0</v>
      </c>
      <c r="O131" s="51"/>
    </row>
    <row r="132" spans="1:15" s="1" customFormat="1" ht="13.5" customHeight="1">
      <c r="A132" s="32" t="s">
        <v>196</v>
      </c>
      <c r="B132" s="32"/>
      <c r="C132" s="32"/>
      <c r="D132" s="32"/>
      <c r="E132" s="32"/>
      <c r="F132" s="32"/>
      <c r="G132" s="17" t="s">
        <v>95</v>
      </c>
      <c r="H132" s="17" t="s">
        <v>197</v>
      </c>
      <c r="I132" s="18">
        <f>64500</f>
        <v>64500</v>
      </c>
      <c r="J132" s="33">
        <f>54215.05</f>
        <v>54215.05</v>
      </c>
      <c r="K132" s="33"/>
      <c r="L132" s="33"/>
      <c r="M132" s="33"/>
      <c r="N132" s="51">
        <f>10284.95</f>
        <v>10284.95</v>
      </c>
      <c r="O132" s="51"/>
    </row>
    <row r="133" spans="1:15" s="1" customFormat="1" ht="13.5" customHeight="1">
      <c r="A133" s="32" t="s">
        <v>120</v>
      </c>
      <c r="B133" s="32"/>
      <c r="C133" s="32"/>
      <c r="D133" s="32"/>
      <c r="E133" s="32"/>
      <c r="F133" s="32"/>
      <c r="G133" s="17" t="s">
        <v>95</v>
      </c>
      <c r="H133" s="17" t="s">
        <v>198</v>
      </c>
      <c r="I133" s="18">
        <f>120000</f>
        <v>120000</v>
      </c>
      <c r="J133" s="52" t="s">
        <v>47</v>
      </c>
      <c r="K133" s="52"/>
      <c r="L133" s="52"/>
      <c r="M133" s="52"/>
      <c r="N133" s="51">
        <f>120000</f>
        <v>120000</v>
      </c>
      <c r="O133" s="51"/>
    </row>
    <row r="134" spans="1:15" s="1" customFormat="1" ht="13.5" customHeight="1">
      <c r="A134" s="32" t="s">
        <v>125</v>
      </c>
      <c r="B134" s="32"/>
      <c r="C134" s="32"/>
      <c r="D134" s="32"/>
      <c r="E134" s="32"/>
      <c r="F134" s="32"/>
      <c r="G134" s="17" t="s">
        <v>95</v>
      </c>
      <c r="H134" s="17" t="s">
        <v>199</v>
      </c>
      <c r="I134" s="18">
        <f>215500</f>
        <v>215500</v>
      </c>
      <c r="J134" s="33">
        <f>215500</f>
        <v>215500</v>
      </c>
      <c r="K134" s="33"/>
      <c r="L134" s="33"/>
      <c r="M134" s="33"/>
      <c r="N134" s="51">
        <f>0</f>
        <v>0</v>
      </c>
      <c r="O134" s="51"/>
    </row>
    <row r="135" spans="1:15" s="1" customFormat="1" ht="13.5" customHeight="1">
      <c r="A135" s="32" t="s">
        <v>123</v>
      </c>
      <c r="B135" s="32"/>
      <c r="C135" s="32"/>
      <c r="D135" s="32"/>
      <c r="E135" s="32"/>
      <c r="F135" s="32"/>
      <c r="G135" s="17" t="s">
        <v>95</v>
      </c>
      <c r="H135" s="17" t="s">
        <v>200</v>
      </c>
      <c r="I135" s="18">
        <f>300000</f>
        <v>300000</v>
      </c>
      <c r="J135" s="33">
        <f>300000</f>
        <v>300000</v>
      </c>
      <c r="K135" s="33"/>
      <c r="L135" s="33"/>
      <c r="M135" s="33"/>
      <c r="N135" s="51">
        <f>0</f>
        <v>0</v>
      </c>
      <c r="O135" s="51"/>
    </row>
    <row r="136" spans="1:15" s="1" customFormat="1" ht="13.5" customHeight="1">
      <c r="A136" s="32" t="s">
        <v>108</v>
      </c>
      <c r="B136" s="32"/>
      <c r="C136" s="32"/>
      <c r="D136" s="32"/>
      <c r="E136" s="32"/>
      <c r="F136" s="32"/>
      <c r="G136" s="17" t="s">
        <v>95</v>
      </c>
      <c r="H136" s="17" t="s">
        <v>201</v>
      </c>
      <c r="I136" s="18">
        <f>294337</f>
        <v>294337</v>
      </c>
      <c r="J136" s="33">
        <f>220752.75</f>
        <v>220752.75</v>
      </c>
      <c r="K136" s="33"/>
      <c r="L136" s="33"/>
      <c r="M136" s="33"/>
      <c r="N136" s="51">
        <f>73584.25</f>
        <v>73584.25</v>
      </c>
      <c r="O136" s="51"/>
    </row>
    <row r="137" spans="1:15" s="1" customFormat="1" ht="13.5" customHeight="1">
      <c r="A137" s="32" t="s">
        <v>96</v>
      </c>
      <c r="B137" s="32"/>
      <c r="C137" s="32"/>
      <c r="D137" s="32"/>
      <c r="E137" s="32"/>
      <c r="F137" s="32"/>
      <c r="G137" s="17" t="s">
        <v>95</v>
      </c>
      <c r="H137" s="17" t="s">
        <v>202</v>
      </c>
      <c r="I137" s="18">
        <f>140356.94</f>
        <v>140356.94</v>
      </c>
      <c r="J137" s="33">
        <f>123846.6</f>
        <v>123846.6</v>
      </c>
      <c r="K137" s="33"/>
      <c r="L137" s="33"/>
      <c r="M137" s="33"/>
      <c r="N137" s="51">
        <f>16510.34</f>
        <v>16510.34</v>
      </c>
      <c r="O137" s="51"/>
    </row>
    <row r="138" spans="1:15" s="1" customFormat="1" ht="13.5" customHeight="1">
      <c r="A138" s="32" t="s">
        <v>98</v>
      </c>
      <c r="B138" s="32"/>
      <c r="C138" s="32"/>
      <c r="D138" s="32"/>
      <c r="E138" s="32"/>
      <c r="F138" s="32"/>
      <c r="G138" s="17" t="s">
        <v>95</v>
      </c>
      <c r="H138" s="17" t="s">
        <v>203</v>
      </c>
      <c r="I138" s="18">
        <f>52556.89</f>
        <v>52556.89</v>
      </c>
      <c r="J138" s="33">
        <f>30782.98</f>
        <v>30782.98</v>
      </c>
      <c r="K138" s="33"/>
      <c r="L138" s="33"/>
      <c r="M138" s="33"/>
      <c r="N138" s="51">
        <f>21773.91</f>
        <v>21773.91</v>
      </c>
      <c r="O138" s="51"/>
    </row>
    <row r="139" spans="1:15" s="1" customFormat="1" ht="13.5" customHeight="1">
      <c r="A139" s="32" t="s">
        <v>102</v>
      </c>
      <c r="B139" s="32"/>
      <c r="C139" s="32"/>
      <c r="D139" s="32"/>
      <c r="E139" s="32"/>
      <c r="F139" s="32"/>
      <c r="G139" s="17" t="s">
        <v>95</v>
      </c>
      <c r="H139" s="17" t="s">
        <v>204</v>
      </c>
      <c r="I139" s="18">
        <f>15000</f>
        <v>15000</v>
      </c>
      <c r="J139" s="52" t="s">
        <v>47</v>
      </c>
      <c r="K139" s="52"/>
      <c r="L139" s="52"/>
      <c r="M139" s="52"/>
      <c r="N139" s="51">
        <f>15000</f>
        <v>15000</v>
      </c>
      <c r="O139" s="51"/>
    </row>
    <row r="140" spans="1:15" s="1" customFormat="1" ht="13.5" customHeight="1">
      <c r="A140" s="32" t="s">
        <v>110</v>
      </c>
      <c r="B140" s="32"/>
      <c r="C140" s="32"/>
      <c r="D140" s="32"/>
      <c r="E140" s="32"/>
      <c r="F140" s="32"/>
      <c r="G140" s="17" t="s">
        <v>95</v>
      </c>
      <c r="H140" s="17" t="s">
        <v>205</v>
      </c>
      <c r="I140" s="18">
        <f>0</f>
        <v>0</v>
      </c>
      <c r="J140" s="52" t="s">
        <v>47</v>
      </c>
      <c r="K140" s="52"/>
      <c r="L140" s="52"/>
      <c r="M140" s="52"/>
      <c r="N140" s="51">
        <f>0</f>
        <v>0</v>
      </c>
      <c r="O140" s="51"/>
    </row>
    <row r="141" spans="1:15" s="1" customFormat="1" ht="13.5" customHeight="1">
      <c r="A141" s="32" t="s">
        <v>125</v>
      </c>
      <c r="B141" s="32"/>
      <c r="C141" s="32"/>
      <c r="D141" s="32"/>
      <c r="E141" s="32"/>
      <c r="F141" s="32"/>
      <c r="G141" s="17" t="s">
        <v>95</v>
      </c>
      <c r="H141" s="17" t="s">
        <v>206</v>
      </c>
      <c r="I141" s="18">
        <f>0</f>
        <v>0</v>
      </c>
      <c r="J141" s="52" t="s">
        <v>47</v>
      </c>
      <c r="K141" s="52"/>
      <c r="L141" s="52"/>
      <c r="M141" s="52"/>
      <c r="N141" s="51">
        <f>0</f>
        <v>0</v>
      </c>
      <c r="O141" s="51"/>
    </row>
    <row r="142" spans="1:15" s="1" customFormat="1" ht="13.5" customHeight="1">
      <c r="A142" s="32" t="s">
        <v>110</v>
      </c>
      <c r="B142" s="32"/>
      <c r="C142" s="32"/>
      <c r="D142" s="32"/>
      <c r="E142" s="32"/>
      <c r="F142" s="32"/>
      <c r="G142" s="17" t="s">
        <v>95</v>
      </c>
      <c r="H142" s="17" t="s">
        <v>207</v>
      </c>
      <c r="I142" s="18">
        <f>53500</f>
        <v>53500</v>
      </c>
      <c r="J142" s="33">
        <f>41585.6</f>
        <v>41585.6</v>
      </c>
      <c r="K142" s="33"/>
      <c r="L142" s="33"/>
      <c r="M142" s="33"/>
      <c r="N142" s="51">
        <f>11914.4</f>
        <v>11914.4</v>
      </c>
      <c r="O142" s="51"/>
    </row>
    <row r="143" spans="1:15" s="1" customFormat="1" ht="13.5" customHeight="1">
      <c r="A143" s="32" t="s">
        <v>125</v>
      </c>
      <c r="B143" s="32"/>
      <c r="C143" s="32"/>
      <c r="D143" s="32"/>
      <c r="E143" s="32"/>
      <c r="F143" s="32"/>
      <c r="G143" s="17" t="s">
        <v>95</v>
      </c>
      <c r="H143" s="17" t="s">
        <v>208</v>
      </c>
      <c r="I143" s="18">
        <f>38500</f>
        <v>38500</v>
      </c>
      <c r="J143" s="52" t="s">
        <v>47</v>
      </c>
      <c r="K143" s="52"/>
      <c r="L143" s="52"/>
      <c r="M143" s="52"/>
      <c r="N143" s="51">
        <f>38500</f>
        <v>38500</v>
      </c>
      <c r="O143" s="51"/>
    </row>
    <row r="144" spans="1:15" s="1" customFormat="1" ht="13.5" customHeight="1">
      <c r="A144" s="32" t="s">
        <v>96</v>
      </c>
      <c r="B144" s="32"/>
      <c r="C144" s="32"/>
      <c r="D144" s="32"/>
      <c r="E144" s="32"/>
      <c r="F144" s="32"/>
      <c r="G144" s="17" t="s">
        <v>95</v>
      </c>
      <c r="H144" s="17" t="s">
        <v>209</v>
      </c>
      <c r="I144" s="18">
        <f>354643.06</f>
        <v>354643.06</v>
      </c>
      <c r="J144" s="33">
        <f>354643.06</f>
        <v>354643.06</v>
      </c>
      <c r="K144" s="33"/>
      <c r="L144" s="33"/>
      <c r="M144" s="33"/>
      <c r="N144" s="51">
        <f>0</f>
        <v>0</v>
      </c>
      <c r="O144" s="51"/>
    </row>
    <row r="145" spans="1:15" s="1" customFormat="1" ht="13.5" customHeight="1">
      <c r="A145" s="32" t="s">
        <v>98</v>
      </c>
      <c r="B145" s="32"/>
      <c r="C145" s="32"/>
      <c r="D145" s="32"/>
      <c r="E145" s="32"/>
      <c r="F145" s="32"/>
      <c r="G145" s="17" t="s">
        <v>95</v>
      </c>
      <c r="H145" s="17" t="s">
        <v>210</v>
      </c>
      <c r="I145" s="18">
        <f>111843.11</f>
        <v>111843.11</v>
      </c>
      <c r="J145" s="33">
        <f>111843.11</f>
        <v>111843.11</v>
      </c>
      <c r="K145" s="33"/>
      <c r="L145" s="33"/>
      <c r="M145" s="33"/>
      <c r="N145" s="51">
        <f>0</f>
        <v>0</v>
      </c>
      <c r="O145" s="51"/>
    </row>
    <row r="146" spans="1:15" s="1" customFormat="1" ht="13.5" customHeight="1">
      <c r="A146" s="32" t="s">
        <v>102</v>
      </c>
      <c r="B146" s="32"/>
      <c r="C146" s="32"/>
      <c r="D146" s="32"/>
      <c r="E146" s="32"/>
      <c r="F146" s="32"/>
      <c r="G146" s="17" t="s">
        <v>95</v>
      </c>
      <c r="H146" s="17" t="s">
        <v>211</v>
      </c>
      <c r="I146" s="18">
        <f>0</f>
        <v>0</v>
      </c>
      <c r="J146" s="52" t="s">
        <v>47</v>
      </c>
      <c r="K146" s="52"/>
      <c r="L146" s="52"/>
      <c r="M146" s="52"/>
      <c r="N146" s="51">
        <f>0</f>
        <v>0</v>
      </c>
      <c r="O146" s="51"/>
    </row>
    <row r="147" spans="1:15" s="1" customFormat="1" ht="13.5" customHeight="1">
      <c r="A147" s="32" t="s">
        <v>96</v>
      </c>
      <c r="B147" s="32"/>
      <c r="C147" s="32"/>
      <c r="D147" s="32"/>
      <c r="E147" s="32"/>
      <c r="F147" s="32"/>
      <c r="G147" s="17" t="s">
        <v>95</v>
      </c>
      <c r="H147" s="17" t="s">
        <v>212</v>
      </c>
      <c r="I147" s="18">
        <f>2422393.21</f>
        <v>2422393.21</v>
      </c>
      <c r="J147" s="33">
        <f>1458319.12</f>
        <v>1458319.12</v>
      </c>
      <c r="K147" s="33"/>
      <c r="L147" s="33"/>
      <c r="M147" s="33"/>
      <c r="N147" s="51">
        <f>964074.09</f>
        <v>964074.09</v>
      </c>
      <c r="O147" s="51"/>
    </row>
    <row r="148" spans="1:15" s="1" customFormat="1" ht="13.5" customHeight="1">
      <c r="A148" s="32" t="s">
        <v>98</v>
      </c>
      <c r="B148" s="32"/>
      <c r="C148" s="32"/>
      <c r="D148" s="32"/>
      <c r="E148" s="32"/>
      <c r="F148" s="32"/>
      <c r="G148" s="17" t="s">
        <v>95</v>
      </c>
      <c r="H148" s="17" t="s">
        <v>213</v>
      </c>
      <c r="I148" s="18">
        <f>726812.12</f>
        <v>726812.12</v>
      </c>
      <c r="J148" s="33">
        <f>412803.65</f>
        <v>412803.65</v>
      </c>
      <c r="K148" s="33"/>
      <c r="L148" s="33"/>
      <c r="M148" s="33"/>
      <c r="N148" s="51">
        <f>314008.47</f>
        <v>314008.47</v>
      </c>
      <c r="O148" s="51"/>
    </row>
    <row r="149" spans="1:15" s="1" customFormat="1" ht="13.5" customHeight="1">
      <c r="A149" s="32" t="s">
        <v>102</v>
      </c>
      <c r="B149" s="32"/>
      <c r="C149" s="32"/>
      <c r="D149" s="32"/>
      <c r="E149" s="32"/>
      <c r="F149" s="32"/>
      <c r="G149" s="17" t="s">
        <v>95</v>
      </c>
      <c r="H149" s="17" t="s">
        <v>214</v>
      </c>
      <c r="I149" s="18">
        <f>97800</f>
        <v>97800</v>
      </c>
      <c r="J149" s="33">
        <f>94700.92</f>
        <v>94700.92</v>
      </c>
      <c r="K149" s="33"/>
      <c r="L149" s="33"/>
      <c r="M149" s="33"/>
      <c r="N149" s="51">
        <f>3099.08</f>
        <v>3099.08</v>
      </c>
      <c r="O149" s="51"/>
    </row>
    <row r="150" spans="1:15" s="1" customFormat="1" ht="13.5" customHeight="1">
      <c r="A150" s="32" t="s">
        <v>116</v>
      </c>
      <c r="B150" s="32"/>
      <c r="C150" s="32"/>
      <c r="D150" s="32"/>
      <c r="E150" s="32"/>
      <c r="F150" s="32"/>
      <c r="G150" s="17" t="s">
        <v>95</v>
      </c>
      <c r="H150" s="17" t="s">
        <v>215</v>
      </c>
      <c r="I150" s="18">
        <f>50818.26</f>
        <v>50818.26</v>
      </c>
      <c r="J150" s="33">
        <f>9832.71</f>
        <v>9832.71</v>
      </c>
      <c r="K150" s="33"/>
      <c r="L150" s="33"/>
      <c r="M150" s="33"/>
      <c r="N150" s="51">
        <f>40985.55</f>
        <v>40985.55</v>
      </c>
      <c r="O150" s="51"/>
    </row>
    <row r="151" spans="1:15" s="1" customFormat="1" ht="13.5" customHeight="1">
      <c r="A151" s="32" t="s">
        <v>116</v>
      </c>
      <c r="B151" s="32"/>
      <c r="C151" s="32"/>
      <c r="D151" s="32"/>
      <c r="E151" s="32"/>
      <c r="F151" s="32"/>
      <c r="G151" s="17" t="s">
        <v>95</v>
      </c>
      <c r="H151" s="17" t="s">
        <v>216</v>
      </c>
      <c r="I151" s="18">
        <f>2000</f>
        <v>2000</v>
      </c>
      <c r="J151" s="52" t="s">
        <v>47</v>
      </c>
      <c r="K151" s="52"/>
      <c r="L151" s="52"/>
      <c r="M151" s="52"/>
      <c r="N151" s="51">
        <f>2000</f>
        <v>2000</v>
      </c>
      <c r="O151" s="51"/>
    </row>
    <row r="152" spans="1:15" s="1" customFormat="1" ht="13.5" customHeight="1">
      <c r="A152" s="32" t="s">
        <v>104</v>
      </c>
      <c r="B152" s="32"/>
      <c r="C152" s="32"/>
      <c r="D152" s="32"/>
      <c r="E152" s="32"/>
      <c r="F152" s="32"/>
      <c r="G152" s="17" t="s">
        <v>95</v>
      </c>
      <c r="H152" s="17" t="s">
        <v>217</v>
      </c>
      <c r="I152" s="18">
        <f>17040</f>
        <v>17040</v>
      </c>
      <c r="J152" s="33">
        <f>1516</f>
        <v>1516</v>
      </c>
      <c r="K152" s="33"/>
      <c r="L152" s="33"/>
      <c r="M152" s="33"/>
      <c r="N152" s="51">
        <f>15524</f>
        <v>15524</v>
      </c>
      <c r="O152" s="51"/>
    </row>
    <row r="153" spans="1:15" s="1" customFormat="1" ht="13.5" customHeight="1">
      <c r="A153" s="32" t="s">
        <v>131</v>
      </c>
      <c r="B153" s="32"/>
      <c r="C153" s="32"/>
      <c r="D153" s="32"/>
      <c r="E153" s="32"/>
      <c r="F153" s="32"/>
      <c r="G153" s="17" t="s">
        <v>95</v>
      </c>
      <c r="H153" s="17" t="s">
        <v>218</v>
      </c>
      <c r="I153" s="18">
        <f>394509.32</f>
        <v>394509.32</v>
      </c>
      <c r="J153" s="33">
        <f>78955.94</f>
        <v>78955.94</v>
      </c>
      <c r="K153" s="33"/>
      <c r="L153" s="33"/>
      <c r="M153" s="33"/>
      <c r="N153" s="51">
        <f>315553.38</f>
        <v>315553.38</v>
      </c>
      <c r="O153" s="51"/>
    </row>
    <row r="154" spans="1:15" s="1" customFormat="1" ht="13.5" customHeight="1">
      <c r="A154" s="32" t="s">
        <v>120</v>
      </c>
      <c r="B154" s="32"/>
      <c r="C154" s="32"/>
      <c r="D154" s="32"/>
      <c r="E154" s="32"/>
      <c r="F154" s="32"/>
      <c r="G154" s="17" t="s">
        <v>95</v>
      </c>
      <c r="H154" s="17" t="s">
        <v>219</v>
      </c>
      <c r="I154" s="18">
        <f>34064.22</f>
        <v>34064.22</v>
      </c>
      <c r="J154" s="33">
        <f>13155.9</f>
        <v>13155.9</v>
      </c>
      <c r="K154" s="33"/>
      <c r="L154" s="33"/>
      <c r="M154" s="33"/>
      <c r="N154" s="51">
        <f>20908.32</f>
        <v>20908.32</v>
      </c>
      <c r="O154" s="51"/>
    </row>
    <row r="155" spans="1:15" s="1" customFormat="1" ht="13.5" customHeight="1">
      <c r="A155" s="32" t="s">
        <v>106</v>
      </c>
      <c r="B155" s="32"/>
      <c r="C155" s="32"/>
      <c r="D155" s="32"/>
      <c r="E155" s="32"/>
      <c r="F155" s="32"/>
      <c r="G155" s="17" t="s">
        <v>95</v>
      </c>
      <c r="H155" s="17" t="s">
        <v>220</v>
      </c>
      <c r="I155" s="18">
        <f>142178</f>
        <v>142178</v>
      </c>
      <c r="J155" s="33">
        <f>34012</f>
        <v>34012</v>
      </c>
      <c r="K155" s="33"/>
      <c r="L155" s="33"/>
      <c r="M155" s="33"/>
      <c r="N155" s="51">
        <f>108166</f>
        <v>108166</v>
      </c>
      <c r="O155" s="51"/>
    </row>
    <row r="156" spans="1:15" s="1" customFormat="1" ht="13.5" customHeight="1">
      <c r="A156" s="32" t="s">
        <v>125</v>
      </c>
      <c r="B156" s="32"/>
      <c r="C156" s="32"/>
      <c r="D156" s="32"/>
      <c r="E156" s="32"/>
      <c r="F156" s="32"/>
      <c r="G156" s="17" t="s">
        <v>95</v>
      </c>
      <c r="H156" s="17" t="s">
        <v>221</v>
      </c>
      <c r="I156" s="18">
        <f>30000</f>
        <v>30000</v>
      </c>
      <c r="J156" s="33">
        <f>22635</f>
        <v>22635</v>
      </c>
      <c r="K156" s="33"/>
      <c r="L156" s="33"/>
      <c r="M156" s="33"/>
      <c r="N156" s="51">
        <f>7365</f>
        <v>7365</v>
      </c>
      <c r="O156" s="51"/>
    </row>
    <row r="157" spans="1:15" s="1" customFormat="1" ht="13.5" customHeight="1">
      <c r="A157" s="32" t="s">
        <v>110</v>
      </c>
      <c r="B157" s="32"/>
      <c r="C157" s="32"/>
      <c r="D157" s="32"/>
      <c r="E157" s="32"/>
      <c r="F157" s="32"/>
      <c r="G157" s="17" t="s">
        <v>95</v>
      </c>
      <c r="H157" s="17" t="s">
        <v>222</v>
      </c>
      <c r="I157" s="18">
        <f>21911.88</f>
        <v>21911.88</v>
      </c>
      <c r="J157" s="33">
        <f>2351.21</f>
        <v>2351.21</v>
      </c>
      <c r="K157" s="33"/>
      <c r="L157" s="33"/>
      <c r="M157" s="33"/>
      <c r="N157" s="51">
        <f>19560.67</f>
        <v>19560.67</v>
      </c>
      <c r="O157" s="51"/>
    </row>
    <row r="158" spans="1:15" s="1" customFormat="1" ht="13.5" customHeight="1">
      <c r="A158" s="32" t="s">
        <v>110</v>
      </c>
      <c r="B158" s="32"/>
      <c r="C158" s="32"/>
      <c r="D158" s="32"/>
      <c r="E158" s="32"/>
      <c r="F158" s="32"/>
      <c r="G158" s="17" t="s">
        <v>95</v>
      </c>
      <c r="H158" s="17" t="s">
        <v>223</v>
      </c>
      <c r="I158" s="19" t="s">
        <v>47</v>
      </c>
      <c r="J158" s="33">
        <f>0</f>
        <v>0</v>
      </c>
      <c r="K158" s="33"/>
      <c r="L158" s="33"/>
      <c r="M158" s="33"/>
      <c r="N158" s="51">
        <f aca="true" t="shared" si="2" ref="N158:N181">0</f>
        <v>0</v>
      </c>
      <c r="O158" s="51"/>
    </row>
    <row r="159" spans="1:15" s="1" customFormat="1" ht="13.5" customHeight="1">
      <c r="A159" s="32" t="s">
        <v>96</v>
      </c>
      <c r="B159" s="32"/>
      <c r="C159" s="32"/>
      <c r="D159" s="32"/>
      <c r="E159" s="32"/>
      <c r="F159" s="32"/>
      <c r="G159" s="17" t="s">
        <v>95</v>
      </c>
      <c r="H159" s="17" t="s">
        <v>224</v>
      </c>
      <c r="I159" s="18">
        <f>1245106.79</f>
        <v>1245106.79</v>
      </c>
      <c r="J159" s="33">
        <f>1245106.79</f>
        <v>1245106.79</v>
      </c>
      <c r="K159" s="33"/>
      <c r="L159" s="33"/>
      <c r="M159" s="33"/>
      <c r="N159" s="51">
        <f t="shared" si="2"/>
        <v>0</v>
      </c>
      <c r="O159" s="51"/>
    </row>
    <row r="160" spans="1:15" s="1" customFormat="1" ht="13.5" customHeight="1">
      <c r="A160" s="32" t="s">
        <v>98</v>
      </c>
      <c r="B160" s="32"/>
      <c r="C160" s="32"/>
      <c r="D160" s="32"/>
      <c r="E160" s="32"/>
      <c r="F160" s="32"/>
      <c r="G160" s="17" t="s">
        <v>95</v>
      </c>
      <c r="H160" s="17" t="s">
        <v>225</v>
      </c>
      <c r="I160" s="18">
        <f>350787.88</f>
        <v>350787.88</v>
      </c>
      <c r="J160" s="33">
        <f>350787.88</f>
        <v>350787.88</v>
      </c>
      <c r="K160" s="33"/>
      <c r="L160" s="33"/>
      <c r="M160" s="33"/>
      <c r="N160" s="51">
        <f t="shared" si="2"/>
        <v>0</v>
      </c>
      <c r="O160" s="51"/>
    </row>
    <row r="161" spans="1:15" s="1" customFormat="1" ht="13.5" customHeight="1">
      <c r="A161" s="32" t="s">
        <v>102</v>
      </c>
      <c r="B161" s="32"/>
      <c r="C161" s="32"/>
      <c r="D161" s="32"/>
      <c r="E161" s="32"/>
      <c r="F161" s="32"/>
      <c r="G161" s="17" t="s">
        <v>95</v>
      </c>
      <c r="H161" s="17" t="s">
        <v>226</v>
      </c>
      <c r="I161" s="18">
        <f>0</f>
        <v>0</v>
      </c>
      <c r="J161" s="52" t="s">
        <v>47</v>
      </c>
      <c r="K161" s="52"/>
      <c r="L161" s="52"/>
      <c r="M161" s="52"/>
      <c r="N161" s="51">
        <f t="shared" si="2"/>
        <v>0</v>
      </c>
      <c r="O161" s="51"/>
    </row>
    <row r="162" spans="1:15" s="1" customFormat="1" ht="13.5" customHeight="1">
      <c r="A162" s="32" t="s">
        <v>116</v>
      </c>
      <c r="B162" s="32"/>
      <c r="C162" s="32"/>
      <c r="D162" s="32"/>
      <c r="E162" s="32"/>
      <c r="F162" s="32"/>
      <c r="G162" s="17" t="s">
        <v>95</v>
      </c>
      <c r="H162" s="17" t="s">
        <v>227</v>
      </c>
      <c r="I162" s="18">
        <f>8881.74</f>
        <v>8881.74</v>
      </c>
      <c r="J162" s="33">
        <f>8881.74</f>
        <v>8881.74</v>
      </c>
      <c r="K162" s="33"/>
      <c r="L162" s="33"/>
      <c r="M162" s="33"/>
      <c r="N162" s="51">
        <f t="shared" si="2"/>
        <v>0</v>
      </c>
      <c r="O162" s="51"/>
    </row>
    <row r="163" spans="1:15" s="1" customFormat="1" ht="13.5" customHeight="1">
      <c r="A163" s="32" t="s">
        <v>116</v>
      </c>
      <c r="B163" s="32"/>
      <c r="C163" s="32"/>
      <c r="D163" s="32"/>
      <c r="E163" s="32"/>
      <c r="F163" s="32"/>
      <c r="G163" s="17" t="s">
        <v>95</v>
      </c>
      <c r="H163" s="17" t="s">
        <v>228</v>
      </c>
      <c r="I163" s="18">
        <f>0</f>
        <v>0</v>
      </c>
      <c r="J163" s="52" t="s">
        <v>47</v>
      </c>
      <c r="K163" s="52"/>
      <c r="L163" s="52"/>
      <c r="M163" s="52"/>
      <c r="N163" s="51">
        <f t="shared" si="2"/>
        <v>0</v>
      </c>
      <c r="O163" s="51"/>
    </row>
    <row r="164" spans="1:15" s="1" customFormat="1" ht="13.5" customHeight="1">
      <c r="A164" s="32" t="s">
        <v>104</v>
      </c>
      <c r="B164" s="32"/>
      <c r="C164" s="32"/>
      <c r="D164" s="32"/>
      <c r="E164" s="32"/>
      <c r="F164" s="32"/>
      <c r="G164" s="17" t="s">
        <v>95</v>
      </c>
      <c r="H164" s="17" t="s">
        <v>229</v>
      </c>
      <c r="I164" s="18">
        <f>0</f>
        <v>0</v>
      </c>
      <c r="J164" s="52" t="s">
        <v>47</v>
      </c>
      <c r="K164" s="52"/>
      <c r="L164" s="52"/>
      <c r="M164" s="52"/>
      <c r="N164" s="51">
        <f t="shared" si="2"/>
        <v>0</v>
      </c>
      <c r="O164" s="51"/>
    </row>
    <row r="165" spans="1:15" s="1" customFormat="1" ht="13.5" customHeight="1">
      <c r="A165" s="32" t="s">
        <v>131</v>
      </c>
      <c r="B165" s="32"/>
      <c r="C165" s="32"/>
      <c r="D165" s="32"/>
      <c r="E165" s="32"/>
      <c r="F165" s="32"/>
      <c r="G165" s="17" t="s">
        <v>95</v>
      </c>
      <c r="H165" s="17" t="s">
        <v>230</v>
      </c>
      <c r="I165" s="18">
        <f>240490.68</f>
        <v>240490.68</v>
      </c>
      <c r="J165" s="33">
        <f>240490.68</f>
        <v>240490.68</v>
      </c>
      <c r="K165" s="33"/>
      <c r="L165" s="33"/>
      <c r="M165" s="33"/>
      <c r="N165" s="51">
        <f t="shared" si="2"/>
        <v>0</v>
      </c>
      <c r="O165" s="51"/>
    </row>
    <row r="166" spans="1:15" s="1" customFormat="1" ht="13.5" customHeight="1">
      <c r="A166" s="32" t="s">
        <v>120</v>
      </c>
      <c r="B166" s="32"/>
      <c r="C166" s="32"/>
      <c r="D166" s="32"/>
      <c r="E166" s="32"/>
      <c r="F166" s="32"/>
      <c r="G166" s="17" t="s">
        <v>95</v>
      </c>
      <c r="H166" s="17" t="s">
        <v>231</v>
      </c>
      <c r="I166" s="18">
        <f>1935.78</f>
        <v>1935.78</v>
      </c>
      <c r="J166" s="33">
        <f>1935.78</f>
        <v>1935.78</v>
      </c>
      <c r="K166" s="33"/>
      <c r="L166" s="33"/>
      <c r="M166" s="33"/>
      <c r="N166" s="51">
        <f t="shared" si="2"/>
        <v>0</v>
      </c>
      <c r="O166" s="51"/>
    </row>
    <row r="167" spans="1:15" s="1" customFormat="1" ht="13.5" customHeight="1">
      <c r="A167" s="32" t="s">
        <v>106</v>
      </c>
      <c r="B167" s="32"/>
      <c r="C167" s="32"/>
      <c r="D167" s="32"/>
      <c r="E167" s="32"/>
      <c r="F167" s="32"/>
      <c r="G167" s="17" t="s">
        <v>95</v>
      </c>
      <c r="H167" s="17" t="s">
        <v>232</v>
      </c>
      <c r="I167" s="18">
        <f>11822</f>
        <v>11822</v>
      </c>
      <c r="J167" s="33">
        <f>11822</f>
        <v>11822</v>
      </c>
      <c r="K167" s="33"/>
      <c r="L167" s="33"/>
      <c r="M167" s="33"/>
      <c r="N167" s="51">
        <f t="shared" si="2"/>
        <v>0</v>
      </c>
      <c r="O167" s="51"/>
    </row>
    <row r="168" spans="1:15" s="1" customFormat="1" ht="13.5" customHeight="1">
      <c r="A168" s="32" t="s">
        <v>125</v>
      </c>
      <c r="B168" s="32"/>
      <c r="C168" s="32"/>
      <c r="D168" s="32"/>
      <c r="E168" s="32"/>
      <c r="F168" s="32"/>
      <c r="G168" s="17" t="s">
        <v>95</v>
      </c>
      <c r="H168" s="17" t="s">
        <v>233</v>
      </c>
      <c r="I168" s="18">
        <f>0</f>
        <v>0</v>
      </c>
      <c r="J168" s="52" t="s">
        <v>47</v>
      </c>
      <c r="K168" s="52"/>
      <c r="L168" s="52"/>
      <c r="M168" s="52"/>
      <c r="N168" s="51">
        <f t="shared" si="2"/>
        <v>0</v>
      </c>
      <c r="O168" s="51"/>
    </row>
    <row r="169" spans="1:15" s="1" customFormat="1" ht="13.5" customHeight="1">
      <c r="A169" s="32" t="s">
        <v>110</v>
      </c>
      <c r="B169" s="32"/>
      <c r="C169" s="32"/>
      <c r="D169" s="32"/>
      <c r="E169" s="32"/>
      <c r="F169" s="32"/>
      <c r="G169" s="17" t="s">
        <v>95</v>
      </c>
      <c r="H169" s="17" t="s">
        <v>234</v>
      </c>
      <c r="I169" s="18">
        <f>8088.12</f>
        <v>8088.12</v>
      </c>
      <c r="J169" s="33">
        <f>8088.12</f>
        <v>8088.12</v>
      </c>
      <c r="K169" s="33"/>
      <c r="L169" s="33"/>
      <c r="M169" s="33"/>
      <c r="N169" s="51">
        <f t="shared" si="2"/>
        <v>0</v>
      </c>
      <c r="O169" s="51"/>
    </row>
    <row r="170" spans="1:15" s="1" customFormat="1" ht="13.5" customHeight="1">
      <c r="A170" s="32" t="s">
        <v>96</v>
      </c>
      <c r="B170" s="32"/>
      <c r="C170" s="32"/>
      <c r="D170" s="32"/>
      <c r="E170" s="32"/>
      <c r="F170" s="32"/>
      <c r="G170" s="17" t="s">
        <v>95</v>
      </c>
      <c r="H170" s="17" t="s">
        <v>235</v>
      </c>
      <c r="I170" s="18">
        <f aca="true" t="shared" si="3" ref="I170:J173">0</f>
        <v>0</v>
      </c>
      <c r="J170" s="33">
        <f t="shared" si="3"/>
        <v>0</v>
      </c>
      <c r="K170" s="33"/>
      <c r="L170" s="33"/>
      <c r="M170" s="33"/>
      <c r="N170" s="51">
        <f t="shared" si="2"/>
        <v>0</v>
      </c>
      <c r="O170" s="51"/>
    </row>
    <row r="171" spans="1:15" s="1" customFormat="1" ht="13.5" customHeight="1">
      <c r="A171" s="32" t="s">
        <v>98</v>
      </c>
      <c r="B171" s="32"/>
      <c r="C171" s="32"/>
      <c r="D171" s="32"/>
      <c r="E171" s="32"/>
      <c r="F171" s="32"/>
      <c r="G171" s="17" t="s">
        <v>95</v>
      </c>
      <c r="H171" s="17" t="s">
        <v>236</v>
      </c>
      <c r="I171" s="18">
        <f t="shared" si="3"/>
        <v>0</v>
      </c>
      <c r="J171" s="33">
        <f t="shared" si="3"/>
        <v>0</v>
      </c>
      <c r="K171" s="33"/>
      <c r="L171" s="33"/>
      <c r="M171" s="33"/>
      <c r="N171" s="51">
        <f t="shared" si="2"/>
        <v>0</v>
      </c>
      <c r="O171" s="51"/>
    </row>
    <row r="172" spans="1:15" s="1" customFormat="1" ht="13.5" customHeight="1">
      <c r="A172" s="32" t="s">
        <v>102</v>
      </c>
      <c r="B172" s="32"/>
      <c r="C172" s="32"/>
      <c r="D172" s="32"/>
      <c r="E172" s="32"/>
      <c r="F172" s="32"/>
      <c r="G172" s="17" t="s">
        <v>95</v>
      </c>
      <c r="H172" s="17" t="s">
        <v>237</v>
      </c>
      <c r="I172" s="18">
        <f t="shared" si="3"/>
        <v>0</v>
      </c>
      <c r="J172" s="33">
        <f t="shared" si="3"/>
        <v>0</v>
      </c>
      <c r="K172" s="33"/>
      <c r="L172" s="33"/>
      <c r="M172" s="33"/>
      <c r="N172" s="51">
        <f t="shared" si="2"/>
        <v>0</v>
      </c>
      <c r="O172" s="51"/>
    </row>
    <row r="173" spans="1:15" s="1" customFormat="1" ht="13.5" customHeight="1">
      <c r="A173" s="32" t="s">
        <v>116</v>
      </c>
      <c r="B173" s="32"/>
      <c r="C173" s="32"/>
      <c r="D173" s="32"/>
      <c r="E173" s="32"/>
      <c r="F173" s="32"/>
      <c r="G173" s="17" t="s">
        <v>95</v>
      </c>
      <c r="H173" s="17" t="s">
        <v>238</v>
      </c>
      <c r="I173" s="18">
        <f t="shared" si="3"/>
        <v>0</v>
      </c>
      <c r="J173" s="33">
        <f t="shared" si="3"/>
        <v>0</v>
      </c>
      <c r="K173" s="33"/>
      <c r="L173" s="33"/>
      <c r="M173" s="33"/>
      <c r="N173" s="51">
        <f t="shared" si="2"/>
        <v>0</v>
      </c>
      <c r="O173" s="51"/>
    </row>
    <row r="174" spans="1:15" s="1" customFormat="1" ht="13.5" customHeight="1">
      <c r="A174" s="32" t="s">
        <v>116</v>
      </c>
      <c r="B174" s="32"/>
      <c r="C174" s="32"/>
      <c r="D174" s="32"/>
      <c r="E174" s="32"/>
      <c r="F174" s="32"/>
      <c r="G174" s="17" t="s">
        <v>95</v>
      </c>
      <c r="H174" s="17" t="s">
        <v>239</v>
      </c>
      <c r="I174" s="18">
        <f aca="true" t="shared" si="4" ref="I174:I181">0</f>
        <v>0</v>
      </c>
      <c r="J174" s="52" t="s">
        <v>47</v>
      </c>
      <c r="K174" s="52"/>
      <c r="L174" s="52"/>
      <c r="M174" s="52"/>
      <c r="N174" s="51">
        <f t="shared" si="2"/>
        <v>0</v>
      </c>
      <c r="O174" s="51"/>
    </row>
    <row r="175" spans="1:15" s="1" customFormat="1" ht="13.5" customHeight="1">
      <c r="A175" s="32" t="s">
        <v>104</v>
      </c>
      <c r="B175" s="32"/>
      <c r="C175" s="32"/>
      <c r="D175" s="32"/>
      <c r="E175" s="32"/>
      <c r="F175" s="32"/>
      <c r="G175" s="17" t="s">
        <v>95</v>
      </c>
      <c r="H175" s="17" t="s">
        <v>240</v>
      </c>
      <c r="I175" s="18">
        <f t="shared" si="4"/>
        <v>0</v>
      </c>
      <c r="J175" s="33">
        <f aca="true" t="shared" si="5" ref="J175:J180">0</f>
        <v>0</v>
      </c>
      <c r="K175" s="33"/>
      <c r="L175" s="33"/>
      <c r="M175" s="33"/>
      <c r="N175" s="51">
        <f t="shared" si="2"/>
        <v>0</v>
      </c>
      <c r="O175" s="51"/>
    </row>
    <row r="176" spans="1:15" s="1" customFormat="1" ht="13.5" customHeight="1">
      <c r="A176" s="32" t="s">
        <v>131</v>
      </c>
      <c r="B176" s="32"/>
      <c r="C176" s="32"/>
      <c r="D176" s="32"/>
      <c r="E176" s="32"/>
      <c r="F176" s="32"/>
      <c r="G176" s="17" t="s">
        <v>95</v>
      </c>
      <c r="H176" s="17" t="s">
        <v>241</v>
      </c>
      <c r="I176" s="18">
        <f t="shared" si="4"/>
        <v>0</v>
      </c>
      <c r="J176" s="33">
        <f t="shared" si="5"/>
        <v>0</v>
      </c>
      <c r="K176" s="33"/>
      <c r="L176" s="33"/>
      <c r="M176" s="33"/>
      <c r="N176" s="51">
        <f t="shared" si="2"/>
        <v>0</v>
      </c>
      <c r="O176" s="51"/>
    </row>
    <row r="177" spans="1:15" s="1" customFormat="1" ht="13.5" customHeight="1">
      <c r="A177" s="32" t="s">
        <v>120</v>
      </c>
      <c r="B177" s="32"/>
      <c r="C177" s="32"/>
      <c r="D177" s="32"/>
      <c r="E177" s="32"/>
      <c r="F177" s="32"/>
      <c r="G177" s="17" t="s">
        <v>95</v>
      </c>
      <c r="H177" s="17" t="s">
        <v>242</v>
      </c>
      <c r="I177" s="18">
        <f t="shared" si="4"/>
        <v>0</v>
      </c>
      <c r="J177" s="33">
        <f t="shared" si="5"/>
        <v>0</v>
      </c>
      <c r="K177" s="33"/>
      <c r="L177" s="33"/>
      <c r="M177" s="33"/>
      <c r="N177" s="51">
        <f t="shared" si="2"/>
        <v>0</v>
      </c>
      <c r="O177" s="51"/>
    </row>
    <row r="178" spans="1:15" s="1" customFormat="1" ht="13.5" customHeight="1">
      <c r="A178" s="32" t="s">
        <v>106</v>
      </c>
      <c r="B178" s="32"/>
      <c r="C178" s="32"/>
      <c r="D178" s="32"/>
      <c r="E178" s="32"/>
      <c r="F178" s="32"/>
      <c r="G178" s="17" t="s">
        <v>95</v>
      </c>
      <c r="H178" s="17" t="s">
        <v>243</v>
      </c>
      <c r="I178" s="18">
        <f t="shared" si="4"/>
        <v>0</v>
      </c>
      <c r="J178" s="33">
        <f t="shared" si="5"/>
        <v>0</v>
      </c>
      <c r="K178" s="33"/>
      <c r="L178" s="33"/>
      <c r="M178" s="33"/>
      <c r="N178" s="51">
        <f t="shared" si="2"/>
        <v>0</v>
      </c>
      <c r="O178" s="51"/>
    </row>
    <row r="179" spans="1:15" s="1" customFormat="1" ht="13.5" customHeight="1">
      <c r="A179" s="32" t="s">
        <v>110</v>
      </c>
      <c r="B179" s="32"/>
      <c r="C179" s="32"/>
      <c r="D179" s="32"/>
      <c r="E179" s="32"/>
      <c r="F179" s="32"/>
      <c r="G179" s="17" t="s">
        <v>95</v>
      </c>
      <c r="H179" s="17" t="s">
        <v>244</v>
      </c>
      <c r="I179" s="18">
        <f t="shared" si="4"/>
        <v>0</v>
      </c>
      <c r="J179" s="33">
        <f t="shared" si="5"/>
        <v>0</v>
      </c>
      <c r="K179" s="33"/>
      <c r="L179" s="33"/>
      <c r="M179" s="33"/>
      <c r="N179" s="51">
        <f t="shared" si="2"/>
        <v>0</v>
      </c>
      <c r="O179" s="51"/>
    </row>
    <row r="180" spans="1:15" s="1" customFormat="1" ht="13.5" customHeight="1">
      <c r="A180" s="32" t="s">
        <v>125</v>
      </c>
      <c r="B180" s="32"/>
      <c r="C180" s="32"/>
      <c r="D180" s="32"/>
      <c r="E180" s="32"/>
      <c r="F180" s="32"/>
      <c r="G180" s="17" t="s">
        <v>95</v>
      </c>
      <c r="H180" s="17" t="s">
        <v>245</v>
      </c>
      <c r="I180" s="18">
        <f t="shared" si="4"/>
        <v>0</v>
      </c>
      <c r="J180" s="33">
        <f t="shared" si="5"/>
        <v>0</v>
      </c>
      <c r="K180" s="33"/>
      <c r="L180" s="33"/>
      <c r="M180" s="33"/>
      <c r="N180" s="51">
        <f t="shared" si="2"/>
        <v>0</v>
      </c>
      <c r="O180" s="51"/>
    </row>
    <row r="181" spans="1:15" s="1" customFormat="1" ht="13.5" customHeight="1">
      <c r="A181" s="32" t="s">
        <v>110</v>
      </c>
      <c r="B181" s="32"/>
      <c r="C181" s="32"/>
      <c r="D181" s="32"/>
      <c r="E181" s="32"/>
      <c r="F181" s="32"/>
      <c r="G181" s="17" t="s">
        <v>95</v>
      </c>
      <c r="H181" s="17" t="s">
        <v>246</v>
      </c>
      <c r="I181" s="18">
        <f t="shared" si="4"/>
        <v>0</v>
      </c>
      <c r="J181" s="52" t="s">
        <v>47</v>
      </c>
      <c r="K181" s="52"/>
      <c r="L181" s="52"/>
      <c r="M181" s="52"/>
      <c r="N181" s="51">
        <f t="shared" si="2"/>
        <v>0</v>
      </c>
      <c r="O181" s="51"/>
    </row>
    <row r="182" spans="1:15" s="1" customFormat="1" ht="13.5" customHeight="1">
      <c r="A182" s="32" t="s">
        <v>106</v>
      </c>
      <c r="B182" s="32"/>
      <c r="C182" s="32"/>
      <c r="D182" s="32"/>
      <c r="E182" s="32"/>
      <c r="F182" s="32"/>
      <c r="G182" s="17" t="s">
        <v>95</v>
      </c>
      <c r="H182" s="17" t="s">
        <v>247</v>
      </c>
      <c r="I182" s="18">
        <f>3500</f>
        <v>3500</v>
      </c>
      <c r="J182" s="52" t="s">
        <v>47</v>
      </c>
      <c r="K182" s="52"/>
      <c r="L182" s="52"/>
      <c r="M182" s="52"/>
      <c r="N182" s="51">
        <f>3500</f>
        <v>3500</v>
      </c>
      <c r="O182" s="51"/>
    </row>
    <row r="183" spans="1:15" s="1" customFormat="1" ht="13.5" customHeight="1">
      <c r="A183" s="32" t="s">
        <v>110</v>
      </c>
      <c r="B183" s="32"/>
      <c r="C183" s="32"/>
      <c r="D183" s="32"/>
      <c r="E183" s="32"/>
      <c r="F183" s="32"/>
      <c r="G183" s="17" t="s">
        <v>95</v>
      </c>
      <c r="H183" s="17" t="s">
        <v>248</v>
      </c>
      <c r="I183" s="18">
        <f>333500</f>
        <v>333500</v>
      </c>
      <c r="J183" s="33">
        <f>245346</f>
        <v>245346</v>
      </c>
      <c r="K183" s="33"/>
      <c r="L183" s="33"/>
      <c r="M183" s="33"/>
      <c r="N183" s="51">
        <f>88154</f>
        <v>88154</v>
      </c>
      <c r="O183" s="51"/>
    </row>
    <row r="184" spans="1:15" s="1" customFormat="1" ht="24" customHeight="1">
      <c r="A184" s="32" t="s">
        <v>249</v>
      </c>
      <c r="B184" s="32"/>
      <c r="C184" s="32"/>
      <c r="D184" s="32"/>
      <c r="E184" s="32"/>
      <c r="F184" s="32"/>
      <c r="G184" s="17" t="s">
        <v>95</v>
      </c>
      <c r="H184" s="17" t="s">
        <v>250</v>
      </c>
      <c r="I184" s="18">
        <f>180000</f>
        <v>180000</v>
      </c>
      <c r="J184" s="33">
        <f>135000</f>
        <v>135000</v>
      </c>
      <c r="K184" s="33"/>
      <c r="L184" s="33"/>
      <c r="M184" s="33"/>
      <c r="N184" s="51">
        <f>45000</f>
        <v>45000</v>
      </c>
      <c r="O184" s="51"/>
    </row>
    <row r="185" spans="1:15" s="1" customFormat="1" ht="13.5" customHeight="1">
      <c r="A185" s="32" t="s">
        <v>120</v>
      </c>
      <c r="B185" s="32"/>
      <c r="C185" s="32"/>
      <c r="D185" s="32"/>
      <c r="E185" s="32"/>
      <c r="F185" s="32"/>
      <c r="G185" s="17" t="s">
        <v>95</v>
      </c>
      <c r="H185" s="17" t="s">
        <v>251</v>
      </c>
      <c r="I185" s="18">
        <f>17000</f>
        <v>17000</v>
      </c>
      <c r="J185" s="52" t="s">
        <v>47</v>
      </c>
      <c r="K185" s="52"/>
      <c r="L185" s="52"/>
      <c r="M185" s="52"/>
      <c r="N185" s="51">
        <f>17000</f>
        <v>17000</v>
      </c>
      <c r="O185" s="51"/>
    </row>
    <row r="186" spans="1:15" s="1" customFormat="1" ht="13.5" customHeight="1">
      <c r="A186" s="32" t="s">
        <v>110</v>
      </c>
      <c r="B186" s="32"/>
      <c r="C186" s="32"/>
      <c r="D186" s="32"/>
      <c r="E186" s="32"/>
      <c r="F186" s="32"/>
      <c r="G186" s="17" t="s">
        <v>95</v>
      </c>
      <c r="H186" s="17" t="s">
        <v>252</v>
      </c>
      <c r="I186" s="18">
        <f>16200</f>
        <v>16200</v>
      </c>
      <c r="J186" s="33">
        <f>12060</f>
        <v>12060</v>
      </c>
      <c r="K186" s="33"/>
      <c r="L186" s="33"/>
      <c r="M186" s="33"/>
      <c r="N186" s="51">
        <f>4140</f>
        <v>4140</v>
      </c>
      <c r="O186" s="51"/>
    </row>
    <row r="187" spans="1:15" s="1" customFormat="1" ht="13.5" customHeight="1">
      <c r="A187" s="32" t="s">
        <v>123</v>
      </c>
      <c r="B187" s="32"/>
      <c r="C187" s="32"/>
      <c r="D187" s="32"/>
      <c r="E187" s="32"/>
      <c r="F187" s="32"/>
      <c r="G187" s="17" t="s">
        <v>95</v>
      </c>
      <c r="H187" s="17" t="s">
        <v>253</v>
      </c>
      <c r="I187" s="18">
        <f>11900</f>
        <v>11900</v>
      </c>
      <c r="J187" s="33">
        <f>11900</f>
        <v>11900</v>
      </c>
      <c r="K187" s="33"/>
      <c r="L187" s="33"/>
      <c r="M187" s="33"/>
      <c r="N187" s="51">
        <f>0</f>
        <v>0</v>
      </c>
      <c r="O187" s="51"/>
    </row>
    <row r="188" spans="1:15" s="1" customFormat="1" ht="13.5" customHeight="1">
      <c r="A188" s="32" t="s">
        <v>125</v>
      </c>
      <c r="B188" s="32"/>
      <c r="C188" s="32"/>
      <c r="D188" s="32"/>
      <c r="E188" s="32"/>
      <c r="F188" s="32"/>
      <c r="G188" s="17" t="s">
        <v>95</v>
      </c>
      <c r="H188" s="17" t="s">
        <v>254</v>
      </c>
      <c r="I188" s="18">
        <f>1900</f>
        <v>1900</v>
      </c>
      <c r="J188" s="33">
        <f>1900</f>
        <v>1900</v>
      </c>
      <c r="K188" s="33"/>
      <c r="L188" s="33"/>
      <c r="M188" s="33"/>
      <c r="N188" s="51">
        <f>0</f>
        <v>0</v>
      </c>
      <c r="O188" s="51"/>
    </row>
    <row r="189" spans="1:15" s="1" customFormat="1" ht="13.5" customHeight="1">
      <c r="A189" s="32" t="s">
        <v>106</v>
      </c>
      <c r="B189" s="32"/>
      <c r="C189" s="32"/>
      <c r="D189" s="32"/>
      <c r="E189" s="32"/>
      <c r="F189" s="32"/>
      <c r="G189" s="17" t="s">
        <v>95</v>
      </c>
      <c r="H189" s="17" t="s">
        <v>255</v>
      </c>
      <c r="I189" s="18">
        <f>50000-24528</f>
        <v>25472</v>
      </c>
      <c r="J189" s="33">
        <f>8737.13</f>
        <v>8737.13</v>
      </c>
      <c r="K189" s="33"/>
      <c r="L189" s="33"/>
      <c r="M189" s="33"/>
      <c r="N189" s="51">
        <f>I189-J189</f>
        <v>16734.870000000003</v>
      </c>
      <c r="O189" s="51"/>
    </row>
    <row r="190" spans="1:15" s="1" customFormat="1" ht="15" customHeight="1">
      <c r="A190" s="53" t="s">
        <v>256</v>
      </c>
      <c r="B190" s="53"/>
      <c r="C190" s="53"/>
      <c r="D190" s="53"/>
      <c r="E190" s="53"/>
      <c r="F190" s="53"/>
      <c r="G190" s="20" t="s">
        <v>257</v>
      </c>
      <c r="H190" s="20" t="s">
        <v>38</v>
      </c>
      <c r="I190" s="21">
        <f>-3907722.4</f>
        <v>-3907722.4</v>
      </c>
      <c r="J190" s="54">
        <f>-830676.36</f>
        <v>-830676.36</v>
      </c>
      <c r="K190" s="54"/>
      <c r="L190" s="54"/>
      <c r="M190" s="54"/>
      <c r="N190" s="55" t="s">
        <v>38</v>
      </c>
      <c r="O190" s="55"/>
    </row>
    <row r="191" spans="1:15" s="1" customFormat="1" ht="13.5" customHeight="1">
      <c r="A191" s="37" t="s">
        <v>18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s="1" customFormat="1" ht="13.5" customHeight="1">
      <c r="A192" s="39" t="s">
        <v>258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s="1" customFormat="1" ht="45.75" customHeight="1">
      <c r="A193" s="40" t="s">
        <v>24</v>
      </c>
      <c r="B193" s="40"/>
      <c r="C193" s="40"/>
      <c r="D193" s="40"/>
      <c r="E193" s="40"/>
      <c r="F193" s="40"/>
      <c r="G193" s="8" t="s">
        <v>25</v>
      </c>
      <c r="H193" s="8" t="s">
        <v>259</v>
      </c>
      <c r="I193" s="9" t="s">
        <v>27</v>
      </c>
      <c r="J193" s="41" t="s">
        <v>28</v>
      </c>
      <c r="K193" s="41"/>
      <c r="L193" s="41"/>
      <c r="M193" s="41"/>
      <c r="N193" s="42" t="s">
        <v>29</v>
      </c>
      <c r="O193" s="42"/>
    </row>
    <row r="194" spans="1:15" s="1" customFormat="1" ht="12.75" customHeight="1">
      <c r="A194" s="43" t="s">
        <v>30</v>
      </c>
      <c r="B194" s="43"/>
      <c r="C194" s="43"/>
      <c r="D194" s="43"/>
      <c r="E194" s="43"/>
      <c r="F194" s="43"/>
      <c r="G194" s="10" t="s">
        <v>31</v>
      </c>
      <c r="H194" s="10" t="s">
        <v>32</v>
      </c>
      <c r="I194" s="11" t="s">
        <v>33</v>
      </c>
      <c r="J194" s="44" t="s">
        <v>34</v>
      </c>
      <c r="K194" s="44"/>
      <c r="L194" s="44"/>
      <c r="M194" s="44"/>
      <c r="N194" s="45" t="s">
        <v>35</v>
      </c>
      <c r="O194" s="45"/>
    </row>
    <row r="195" spans="1:15" s="1" customFormat="1" ht="13.5" customHeight="1">
      <c r="A195" s="46" t="s">
        <v>260</v>
      </c>
      <c r="B195" s="46"/>
      <c r="C195" s="46"/>
      <c r="D195" s="46"/>
      <c r="E195" s="46"/>
      <c r="F195" s="46"/>
      <c r="G195" s="12" t="s">
        <v>261</v>
      </c>
      <c r="H195" s="12" t="s">
        <v>38</v>
      </c>
      <c r="I195" s="22">
        <f>3907722.4</f>
        <v>3907722.4</v>
      </c>
      <c r="J195" s="47">
        <f>830676.36</f>
        <v>830676.36</v>
      </c>
      <c r="K195" s="47"/>
      <c r="L195" s="47"/>
      <c r="M195" s="47"/>
      <c r="N195" s="56">
        <f>3077046.04</f>
        <v>3077046.04</v>
      </c>
      <c r="O195" s="56"/>
    </row>
    <row r="196" spans="1:15" s="1" customFormat="1" ht="13.5" customHeight="1">
      <c r="A196" s="57" t="s">
        <v>262</v>
      </c>
      <c r="B196" s="57"/>
      <c r="C196" s="57"/>
      <c r="D196" s="57"/>
      <c r="E196" s="57"/>
      <c r="F196" s="57"/>
      <c r="G196" s="23" t="s">
        <v>18</v>
      </c>
      <c r="H196" s="23" t="s">
        <v>18</v>
      </c>
      <c r="I196" s="24" t="s">
        <v>18</v>
      </c>
      <c r="J196" s="58" t="s">
        <v>18</v>
      </c>
      <c r="K196" s="58"/>
      <c r="L196" s="58"/>
      <c r="M196" s="58"/>
      <c r="N196" s="59" t="s">
        <v>18</v>
      </c>
      <c r="O196" s="59"/>
    </row>
    <row r="197" spans="1:15" s="1" customFormat="1" ht="13.5" customHeight="1">
      <c r="A197" s="49" t="s">
        <v>263</v>
      </c>
      <c r="B197" s="49"/>
      <c r="C197" s="49"/>
      <c r="D197" s="49"/>
      <c r="E197" s="49"/>
      <c r="F197" s="49"/>
      <c r="G197" s="25" t="s">
        <v>264</v>
      </c>
      <c r="H197" s="14" t="s">
        <v>38</v>
      </c>
      <c r="I197" s="26" t="s">
        <v>47</v>
      </c>
      <c r="J197" s="30" t="s">
        <v>47</v>
      </c>
      <c r="K197" s="30"/>
      <c r="L197" s="30"/>
      <c r="M197" s="30"/>
      <c r="N197" s="60" t="s">
        <v>47</v>
      </c>
      <c r="O197" s="60"/>
    </row>
    <row r="198" spans="1:15" s="1" customFormat="1" ht="13.5" customHeight="1">
      <c r="A198" s="32" t="s">
        <v>18</v>
      </c>
      <c r="B198" s="32"/>
      <c r="C198" s="32"/>
      <c r="D198" s="32"/>
      <c r="E198" s="32"/>
      <c r="F198" s="32"/>
      <c r="G198" s="17" t="s">
        <v>264</v>
      </c>
      <c r="H198" s="17" t="s">
        <v>18</v>
      </c>
      <c r="I198" s="27" t="s">
        <v>47</v>
      </c>
      <c r="J198" s="52" t="s">
        <v>47</v>
      </c>
      <c r="K198" s="52"/>
      <c r="L198" s="52"/>
      <c r="M198" s="52"/>
      <c r="N198" s="61" t="s">
        <v>47</v>
      </c>
      <c r="O198" s="61"/>
    </row>
    <row r="199" spans="1:15" s="1" customFormat="1" ht="0.75" customHeight="1">
      <c r="A199" s="62" t="s">
        <v>18</v>
      </c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</row>
    <row r="200" spans="1:15" s="1" customFormat="1" ht="13.5" customHeight="1">
      <c r="A200" s="32" t="s">
        <v>265</v>
      </c>
      <c r="B200" s="32"/>
      <c r="C200" s="32"/>
      <c r="D200" s="32"/>
      <c r="E200" s="32"/>
      <c r="F200" s="32"/>
      <c r="G200" s="23" t="s">
        <v>266</v>
      </c>
      <c r="H200" s="23" t="s">
        <v>38</v>
      </c>
      <c r="I200" s="24" t="s">
        <v>47</v>
      </c>
      <c r="J200" s="52" t="s">
        <v>47</v>
      </c>
      <c r="K200" s="52"/>
      <c r="L200" s="52"/>
      <c r="M200" s="52"/>
      <c r="N200" s="59" t="s">
        <v>47</v>
      </c>
      <c r="O200" s="59"/>
    </row>
    <row r="201" spans="1:15" s="1" customFormat="1" ht="13.5" customHeight="1">
      <c r="A201" s="32" t="s">
        <v>18</v>
      </c>
      <c r="B201" s="32"/>
      <c r="C201" s="32"/>
      <c r="D201" s="32"/>
      <c r="E201" s="32"/>
      <c r="F201" s="32"/>
      <c r="G201" s="17" t="s">
        <v>266</v>
      </c>
      <c r="H201" s="17" t="s">
        <v>18</v>
      </c>
      <c r="I201" s="27" t="s">
        <v>47</v>
      </c>
      <c r="J201" s="52" t="s">
        <v>47</v>
      </c>
      <c r="K201" s="52"/>
      <c r="L201" s="52"/>
      <c r="M201" s="52"/>
      <c r="N201" s="61" t="s">
        <v>47</v>
      </c>
      <c r="O201" s="61"/>
    </row>
    <row r="202" spans="1:15" s="1" customFormat="1" ht="13.5" customHeight="1">
      <c r="A202" s="32" t="s">
        <v>267</v>
      </c>
      <c r="B202" s="32"/>
      <c r="C202" s="32"/>
      <c r="D202" s="32"/>
      <c r="E202" s="32"/>
      <c r="F202" s="32"/>
      <c r="G202" s="17" t="s">
        <v>268</v>
      </c>
      <c r="H202" s="17" t="s">
        <v>269</v>
      </c>
      <c r="I202" s="28">
        <f>3907722.4</f>
        <v>3907722.4</v>
      </c>
      <c r="J202" s="33">
        <f>830676.36</f>
        <v>830676.36</v>
      </c>
      <c r="K202" s="33"/>
      <c r="L202" s="33"/>
      <c r="M202" s="33"/>
      <c r="N202" s="63">
        <f>3077046.04</f>
        <v>3077046.04</v>
      </c>
      <c r="O202" s="63"/>
    </row>
    <row r="203" spans="1:15" s="1" customFormat="1" ht="13.5" customHeight="1">
      <c r="A203" s="32" t="s">
        <v>270</v>
      </c>
      <c r="B203" s="32"/>
      <c r="C203" s="32"/>
      <c r="D203" s="32"/>
      <c r="E203" s="32"/>
      <c r="F203" s="32"/>
      <c r="G203" s="17" t="s">
        <v>271</v>
      </c>
      <c r="H203" s="17" t="s">
        <v>272</v>
      </c>
      <c r="I203" s="28">
        <f>-46006477.77</f>
        <v>-46006477.77</v>
      </c>
      <c r="J203" s="33">
        <f>-34137325.1</f>
        <v>-34137325.1</v>
      </c>
      <c r="K203" s="33"/>
      <c r="L203" s="33"/>
      <c r="M203" s="33"/>
      <c r="N203" s="64" t="s">
        <v>38</v>
      </c>
      <c r="O203" s="64"/>
    </row>
    <row r="204" spans="1:15" s="1" customFormat="1" ht="13.5" customHeight="1">
      <c r="A204" s="32" t="s">
        <v>273</v>
      </c>
      <c r="B204" s="32"/>
      <c r="C204" s="32"/>
      <c r="D204" s="32"/>
      <c r="E204" s="32"/>
      <c r="F204" s="32"/>
      <c r="G204" s="17" t="s">
        <v>274</v>
      </c>
      <c r="H204" s="17" t="s">
        <v>275</v>
      </c>
      <c r="I204" s="28">
        <f>49914200.17</f>
        <v>49914200.17</v>
      </c>
      <c r="J204" s="33">
        <f>34968001.46</f>
        <v>34968001.46</v>
      </c>
      <c r="K204" s="33"/>
      <c r="L204" s="33"/>
      <c r="M204" s="33"/>
      <c r="N204" s="64" t="s">
        <v>38</v>
      </c>
      <c r="O204" s="64"/>
    </row>
    <row r="205" spans="1:15" s="1" customFormat="1" ht="13.5" customHeight="1">
      <c r="A205" s="65" t="s">
        <v>18</v>
      </c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</row>
    <row r="206" spans="1:15" s="1" customFormat="1" ht="15.75" customHeight="1">
      <c r="A206" s="37" t="s">
        <v>18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s="1" customFormat="1" ht="13.5" customHeight="1">
      <c r="A207" s="66" t="s">
        <v>276</v>
      </c>
      <c r="B207" s="66"/>
      <c r="C207" s="66"/>
      <c r="D207" s="66"/>
      <c r="E207" s="66"/>
      <c r="F207" s="37" t="s">
        <v>18</v>
      </c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s="1" customFormat="1" ht="13.5" customHeight="1">
      <c r="A208" s="36" t="s">
        <v>277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</row>
    <row r="210" spans="1:8" ht="12.75">
      <c r="A210" s="1" t="s">
        <v>278</v>
      </c>
      <c r="F210" s="34"/>
      <c r="H210" s="1" t="s">
        <v>279</v>
      </c>
    </row>
    <row r="212" spans="1:8" ht="12.75">
      <c r="A212" s="1" t="s">
        <v>280</v>
      </c>
      <c r="F212" s="34"/>
      <c r="H212" s="1" t="s">
        <v>281</v>
      </c>
    </row>
  </sheetData>
  <mergeCells count="596">
    <mergeCell ref="A206:O206"/>
    <mergeCell ref="A207:E207"/>
    <mergeCell ref="F207:O207"/>
    <mergeCell ref="A208:O208"/>
    <mergeCell ref="A204:F204"/>
    <mergeCell ref="J204:M204"/>
    <mergeCell ref="N204:O204"/>
    <mergeCell ref="A205:O205"/>
    <mergeCell ref="A202:F202"/>
    <mergeCell ref="J202:M202"/>
    <mergeCell ref="N202:O202"/>
    <mergeCell ref="A203:F203"/>
    <mergeCell ref="J203:M203"/>
    <mergeCell ref="N203:O203"/>
    <mergeCell ref="A200:F200"/>
    <mergeCell ref="J200:M200"/>
    <mergeCell ref="N200:O200"/>
    <mergeCell ref="A201:F201"/>
    <mergeCell ref="J201:M201"/>
    <mergeCell ref="N201:O201"/>
    <mergeCell ref="A198:F198"/>
    <mergeCell ref="J198:M198"/>
    <mergeCell ref="N198:O198"/>
    <mergeCell ref="A199:O199"/>
    <mergeCell ref="A196:F196"/>
    <mergeCell ref="J196:M196"/>
    <mergeCell ref="N196:O196"/>
    <mergeCell ref="A197:F197"/>
    <mergeCell ref="J197:M197"/>
    <mergeCell ref="N197:O197"/>
    <mergeCell ref="A194:F194"/>
    <mergeCell ref="J194:M194"/>
    <mergeCell ref="N194:O194"/>
    <mergeCell ref="A195:F195"/>
    <mergeCell ref="J195:M195"/>
    <mergeCell ref="N195:O195"/>
    <mergeCell ref="A191:O191"/>
    <mergeCell ref="A192:O192"/>
    <mergeCell ref="A193:F193"/>
    <mergeCell ref="J193:M193"/>
    <mergeCell ref="N193:O193"/>
    <mergeCell ref="A189:F189"/>
    <mergeCell ref="J189:M189"/>
    <mergeCell ref="N189:O189"/>
    <mergeCell ref="A190:F190"/>
    <mergeCell ref="J190:M190"/>
    <mergeCell ref="N190:O190"/>
    <mergeCell ref="A187:F187"/>
    <mergeCell ref="J187:M187"/>
    <mergeCell ref="N187:O187"/>
    <mergeCell ref="A188:F188"/>
    <mergeCell ref="J188:M188"/>
    <mergeCell ref="N188:O188"/>
    <mergeCell ref="A185:F185"/>
    <mergeCell ref="J185:M185"/>
    <mergeCell ref="N185:O185"/>
    <mergeCell ref="A186:F186"/>
    <mergeCell ref="J186:M186"/>
    <mergeCell ref="N186:O186"/>
    <mergeCell ref="A183:F183"/>
    <mergeCell ref="J183:M183"/>
    <mergeCell ref="N183:O183"/>
    <mergeCell ref="A184:F184"/>
    <mergeCell ref="J184:M184"/>
    <mergeCell ref="N184:O184"/>
    <mergeCell ref="A181:F181"/>
    <mergeCell ref="J181:M181"/>
    <mergeCell ref="N181:O181"/>
    <mergeCell ref="A182:F182"/>
    <mergeCell ref="J182:M182"/>
    <mergeCell ref="N182:O182"/>
    <mergeCell ref="A179:F179"/>
    <mergeCell ref="J179:M179"/>
    <mergeCell ref="N179:O179"/>
    <mergeCell ref="A180:F180"/>
    <mergeCell ref="J180:M180"/>
    <mergeCell ref="N180:O180"/>
    <mergeCell ref="A177:F177"/>
    <mergeCell ref="J177:M177"/>
    <mergeCell ref="N177:O177"/>
    <mergeCell ref="A178:F178"/>
    <mergeCell ref="J178:M178"/>
    <mergeCell ref="N178:O178"/>
    <mergeCell ref="A175:F175"/>
    <mergeCell ref="J175:M175"/>
    <mergeCell ref="N175:O175"/>
    <mergeCell ref="A176:F176"/>
    <mergeCell ref="J176:M176"/>
    <mergeCell ref="N176:O176"/>
    <mergeCell ref="A173:F173"/>
    <mergeCell ref="J173:M173"/>
    <mergeCell ref="N173:O173"/>
    <mergeCell ref="A174:F174"/>
    <mergeCell ref="J174:M174"/>
    <mergeCell ref="N174:O174"/>
    <mergeCell ref="A171:F171"/>
    <mergeCell ref="J171:M171"/>
    <mergeCell ref="N171:O171"/>
    <mergeCell ref="A172:F172"/>
    <mergeCell ref="J172:M172"/>
    <mergeCell ref="N172:O172"/>
    <mergeCell ref="A169:F169"/>
    <mergeCell ref="J169:M169"/>
    <mergeCell ref="N169:O169"/>
    <mergeCell ref="A170:F170"/>
    <mergeCell ref="J170:M170"/>
    <mergeCell ref="N170:O170"/>
    <mergeCell ref="A167:F167"/>
    <mergeCell ref="J167:M167"/>
    <mergeCell ref="N167:O167"/>
    <mergeCell ref="A168:F168"/>
    <mergeCell ref="J168:M168"/>
    <mergeCell ref="N168:O168"/>
    <mergeCell ref="A165:F165"/>
    <mergeCell ref="J165:M165"/>
    <mergeCell ref="N165:O165"/>
    <mergeCell ref="A166:F166"/>
    <mergeCell ref="J166:M166"/>
    <mergeCell ref="N166:O166"/>
    <mergeCell ref="A163:F163"/>
    <mergeCell ref="J163:M163"/>
    <mergeCell ref="N163:O163"/>
    <mergeCell ref="A164:F164"/>
    <mergeCell ref="J164:M164"/>
    <mergeCell ref="N164:O164"/>
    <mergeCell ref="A161:F161"/>
    <mergeCell ref="J161:M161"/>
    <mergeCell ref="N161:O161"/>
    <mergeCell ref="A162:F162"/>
    <mergeCell ref="J162:M162"/>
    <mergeCell ref="N162:O162"/>
    <mergeCell ref="A159:F159"/>
    <mergeCell ref="J159:M159"/>
    <mergeCell ref="N159:O159"/>
    <mergeCell ref="A160:F160"/>
    <mergeCell ref="J160:M160"/>
    <mergeCell ref="N160:O160"/>
    <mergeCell ref="A157:F157"/>
    <mergeCell ref="J157:M157"/>
    <mergeCell ref="N157:O157"/>
    <mergeCell ref="A158:F158"/>
    <mergeCell ref="J158:M158"/>
    <mergeCell ref="N158:O158"/>
    <mergeCell ref="A155:F155"/>
    <mergeCell ref="J155:M155"/>
    <mergeCell ref="N155:O155"/>
    <mergeCell ref="A156:F156"/>
    <mergeCell ref="J156:M156"/>
    <mergeCell ref="N156:O156"/>
    <mergeCell ref="A153:F153"/>
    <mergeCell ref="J153:M153"/>
    <mergeCell ref="N153:O153"/>
    <mergeCell ref="A154:F154"/>
    <mergeCell ref="J154:M154"/>
    <mergeCell ref="N154:O154"/>
    <mergeCell ref="A151:F151"/>
    <mergeCell ref="J151:M151"/>
    <mergeCell ref="N151:O151"/>
    <mergeCell ref="A152:F152"/>
    <mergeCell ref="J152:M152"/>
    <mergeCell ref="N152:O152"/>
    <mergeCell ref="A149:F149"/>
    <mergeCell ref="J149:M149"/>
    <mergeCell ref="N149:O149"/>
    <mergeCell ref="A150:F150"/>
    <mergeCell ref="J150:M150"/>
    <mergeCell ref="N150:O150"/>
    <mergeCell ref="A147:F147"/>
    <mergeCell ref="J147:M147"/>
    <mergeCell ref="N147:O147"/>
    <mergeCell ref="A148:F148"/>
    <mergeCell ref="J148:M148"/>
    <mergeCell ref="N148:O148"/>
    <mergeCell ref="A145:F145"/>
    <mergeCell ref="J145:M145"/>
    <mergeCell ref="N145:O145"/>
    <mergeCell ref="A146:F146"/>
    <mergeCell ref="J146:M146"/>
    <mergeCell ref="N146:O146"/>
    <mergeCell ref="A143:F143"/>
    <mergeCell ref="J143:M143"/>
    <mergeCell ref="N143:O143"/>
    <mergeCell ref="A144:F144"/>
    <mergeCell ref="J144:M144"/>
    <mergeCell ref="N144:O144"/>
    <mergeCell ref="A141:F141"/>
    <mergeCell ref="J141:M141"/>
    <mergeCell ref="N141:O141"/>
    <mergeCell ref="A142:F142"/>
    <mergeCell ref="J142:M142"/>
    <mergeCell ref="N142:O142"/>
    <mergeCell ref="A139:F139"/>
    <mergeCell ref="J139:M139"/>
    <mergeCell ref="N139:O139"/>
    <mergeCell ref="A140:F140"/>
    <mergeCell ref="J140:M140"/>
    <mergeCell ref="N140:O140"/>
    <mergeCell ref="A137:F137"/>
    <mergeCell ref="J137:M137"/>
    <mergeCell ref="N137:O137"/>
    <mergeCell ref="A138:F138"/>
    <mergeCell ref="J138:M138"/>
    <mergeCell ref="N138:O138"/>
    <mergeCell ref="A135:F135"/>
    <mergeCell ref="J135:M135"/>
    <mergeCell ref="N135:O135"/>
    <mergeCell ref="A136:F136"/>
    <mergeCell ref="J136:M136"/>
    <mergeCell ref="N136:O136"/>
    <mergeCell ref="A133:F133"/>
    <mergeCell ref="J133:M133"/>
    <mergeCell ref="N133:O133"/>
    <mergeCell ref="A134:F134"/>
    <mergeCell ref="J134:M134"/>
    <mergeCell ref="N134:O134"/>
    <mergeCell ref="A131:F131"/>
    <mergeCell ref="J131:M131"/>
    <mergeCell ref="N131:O131"/>
    <mergeCell ref="A132:F132"/>
    <mergeCell ref="J132:M132"/>
    <mergeCell ref="N132:O132"/>
    <mergeCell ref="A129:F129"/>
    <mergeCell ref="J129:M129"/>
    <mergeCell ref="N129:O129"/>
    <mergeCell ref="A130:F130"/>
    <mergeCell ref="J130:M130"/>
    <mergeCell ref="N130:O130"/>
    <mergeCell ref="A127:F127"/>
    <mergeCell ref="J127:M127"/>
    <mergeCell ref="N127:O127"/>
    <mergeCell ref="A128:F128"/>
    <mergeCell ref="J128:M128"/>
    <mergeCell ref="N128:O128"/>
    <mergeCell ref="A125:F125"/>
    <mergeCell ref="J125:M125"/>
    <mergeCell ref="N125:O125"/>
    <mergeCell ref="A126:F126"/>
    <mergeCell ref="J126:M126"/>
    <mergeCell ref="N126:O126"/>
    <mergeCell ref="A123:F123"/>
    <mergeCell ref="J123:M123"/>
    <mergeCell ref="N123:O123"/>
    <mergeCell ref="A124:F124"/>
    <mergeCell ref="J124:M124"/>
    <mergeCell ref="N124:O124"/>
    <mergeCell ref="A121:F121"/>
    <mergeCell ref="J121:M121"/>
    <mergeCell ref="N121:O121"/>
    <mergeCell ref="A122:F122"/>
    <mergeCell ref="J122:M122"/>
    <mergeCell ref="N122:O122"/>
    <mergeCell ref="A119:F119"/>
    <mergeCell ref="J119:M119"/>
    <mergeCell ref="N119:O119"/>
    <mergeCell ref="A120:F120"/>
    <mergeCell ref="J120:M120"/>
    <mergeCell ref="N120:O120"/>
    <mergeCell ref="A116:F116"/>
    <mergeCell ref="J116:M116"/>
    <mergeCell ref="N116:O116"/>
    <mergeCell ref="A118:F118"/>
    <mergeCell ref="J118:M118"/>
    <mergeCell ref="N118:O118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O40"/>
    <mergeCell ref="A41:F41"/>
    <mergeCell ref="J41:M41"/>
    <mergeCell ref="N41:O41"/>
    <mergeCell ref="A38:F38"/>
    <mergeCell ref="J38:M38"/>
    <mergeCell ref="N38:O38"/>
    <mergeCell ref="A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007874015748" right="0" top="0.3937007874015748" bottom="0" header="0.5" footer="0.5"/>
  <pageSetup orientation="landscape" paperSize="9" scale="85" r:id="rId1"/>
  <headerFooter alignWithMargins="0">
    <oddFooter>&amp;CСтраница &amp;P из &amp;N</oddFooter>
  </headerFooter>
  <rowBreaks count="2" manualBreakCount="2">
    <brk id="39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2014-10-03T10:03:17Z</cp:lastPrinted>
  <dcterms:created xsi:type="dcterms:W3CDTF">2014-10-03T09:59:54Z</dcterms:created>
  <dcterms:modified xsi:type="dcterms:W3CDTF">2014-10-08T04:55:10Z</dcterms:modified>
  <cp:category/>
  <cp:version/>
  <cp:contentType/>
  <cp:contentStatus/>
</cp:coreProperties>
</file>