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<sst xmlns="http://schemas.openxmlformats.org/spreadsheetml/2006/main" count="546" uniqueCount="244">
  <si>
    <t>ОТЧЕТ ОБ ИСПОЛНЕНИИ БЮДЖЕТА</t>
  </si>
  <si>
    <t>КОДЫ</t>
  </si>
  <si>
    <t xml:space="preserve">Форма по ОКУД </t>
  </si>
  <si>
    <t>0503117</t>
  </si>
  <si>
    <t>на 1 августа 2015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</si>
  <si>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</si>
  <si>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</si>
  <si>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</si>
  <si>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</si>
  <si>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>79534319</t>
  </si>
  <si>
    <t xml:space="preserve">Глава по БК 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</si>
  <si>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</si>
  <si>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</si>
  <si>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</si>
  <si>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</si>
  <si>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</si>
  <si>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</si>
  <si>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</si>
  <si>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</si>
  <si>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</si>
  <si>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</si>
  <si>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</si>
  <si>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</si>
  <si>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</si>
  <si>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</si>
  <si>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</si>
  <si>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</si>
  <si>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</si>
  <si>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</si>
  <si>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</si>
  <si>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</si>
  <si>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</si>
  <si>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</si>
  <si>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</si>
  <si>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</si>
  <si>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</si>
  <si>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</si>
  <si>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</si>
  <si>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</si>
  <si>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</si>
  <si>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</si>
  <si>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</si>
  <si>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</si>
  <si>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</si>
  <si>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</si>
  <si>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</si>
  <si>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</si>
  <si>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</si>
  <si>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</si>
  <si>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</si>
  <si>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</si>
  <si>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</si>
  <si>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</si>
  <si>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</si>
  <si>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</si>
  <si>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</si>
  <si>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182 10601030 13 0000 110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</si>
  <si>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</si>
  <si>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182 10606033 13 0000 110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</si>
  <si>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</si>
  <si>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</si>
  <si>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</si>
  <si>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</si>
  <si>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</si>
  <si>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</si>
  <si>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</si>
  <si>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</si>
  <si>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</si>
  <si>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</si>
  <si>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поселений</t>
  </si>
  <si>
    <t>650 11301995 13 0000 130</t>
  </si>
  <si>
    <t>Прочие доходы от компенсации затрат бюджетов поселений</t>
  </si>
  <si>
    <t>650 11302995 13 0000 130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</si>
  <si>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</si>
  <si>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</si>
  <si>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Прочие неналоговые доходы бюджетов городских поселений</t>
  </si>
  <si>
    <t>650 11705050 13 0000 180</t>
  </si>
  <si>
    <t>Дотации бюджетам поселений на выравнивание бюджетной обеспеченности</t>
  </si>
  <si>
    <t>650 20201001 13 0000 151</t>
  </si>
  <si>
    <t>Дотации бюджетам поселений на поддержку мер по обеспечению сбалансированности бюджетов</t>
  </si>
  <si>
    <t>650 20201003 13 0000 151</t>
  </si>
  <si>
    <t>Прочие дотации</t>
  </si>
  <si>
    <t>650 20201999 13 0000 151</t>
  </si>
  <si>
    <t>Субвенции бюджетам поселений на государственную регистрацию актов гражданского состояния</t>
  </si>
  <si>
    <t>650 20203003 13 0000 151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</si>
  <si>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</si>
  <si>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</si>
  <si>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поселений</t>
  </si>
  <si>
    <t>650 20204999 13 0000 151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</si>
  <si>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</si>
  <si>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</si>
  <si>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</si>
  <si>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</si>
  <si>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</si>
  <si>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</si>
  <si>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</si>
  <si>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</si>
  <si>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</si>
  <si>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</si>
  <si>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</si>
  <si>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</si>
  <si>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</si>
  <si>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</si>
  <si>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</si>
  <si>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</si>
  <si>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</si>
  <si>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</si>
  <si>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</si>
  <si>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650 0111 6000705 870 290</t>
  </si>
  <si>
    <t>650 0113 0110240 244 226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</si>
  <si>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</si>
  <si>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</si>
  <si>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</si>
  <si>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</si>
  <si>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</si>
  <si>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</si>
  <si>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</si>
  <si>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Работы, услуги по содержанию имущества</t>
  </si>
  <si>
    <t>650 0113 6000059 244 225</t>
  </si>
  <si>
    <t>650 0113 6000059 244 226</t>
  </si>
  <si>
    <t>Увеличение стоимости основных средств</t>
  </si>
  <si>
    <t>650 0113 6000059 244 310</t>
  </si>
  <si>
    <t>Увеличение стоимости материальных запасов</t>
  </si>
  <si>
    <t>650 0113 6000059 244 340</t>
  </si>
  <si>
    <t>650 0113 6000059 851 290</t>
  </si>
  <si>
    <t>650 0113 6000059 852 290</t>
  </si>
  <si>
    <t>650 0113 6000204 540 251</t>
  </si>
  <si>
    <t>650 0113 6000240 122 212</t>
  </si>
  <si>
    <t>650 0113 6000240 244 221</t>
  </si>
  <si>
    <t>Коммунальные услуги</t>
  </si>
  <si>
    <t>650 0113 6000240 244 223</t>
  </si>
  <si>
    <t>650 0113 6000240 244 225</t>
  </si>
  <si>
    <t>650 0113 6000240 244 226</t>
  </si>
  <si>
    <t>650 0113 6000240 244 290</t>
  </si>
  <si>
    <t>650 0113 6000240 244 340</t>
  </si>
  <si>
    <t>650 0113 6000240 851 290</t>
  </si>
  <si>
    <t>650 0113 6000240 852 290</t>
  </si>
  <si>
    <t>650 0203 6005118 121 211</t>
  </si>
  <si>
    <t>650 0203 6005118 121 213</t>
  </si>
  <si>
    <t>650 0203 6005118 122 212</t>
  </si>
  <si>
    <t>650 0203 6005118 242 221</t>
  </si>
  <si>
    <t>650 0203 6005118 244 223</t>
  </si>
  <si>
    <t>650 0203 6005118 244 225</t>
  </si>
  <si>
    <t>650 0203 6005118 244 226</t>
  </si>
  <si>
    <t>650 0203 6005118 244 310</t>
  </si>
  <si>
    <t>650 0203 6005118 244 340</t>
  </si>
  <si>
    <t>650 0304 6005930 121 211</t>
  </si>
  <si>
    <t>650 0304 6005930 121 213</t>
  </si>
  <si>
    <t>650 0304 6005930 244 225</t>
  </si>
  <si>
    <t>650 0304 6005931 244 310</t>
  </si>
  <si>
    <t>650 0309 0217402 244 225</t>
  </si>
  <si>
    <t>650 0309 0217402 244 226</t>
  </si>
  <si>
    <t>650 0314 0227402 244 225</t>
  </si>
  <si>
    <t>650 0314 0227402 244 226</t>
  </si>
  <si>
    <t>650 0401 6005604 244 226</t>
  </si>
  <si>
    <t>Безвозмездные перечисления организациям, за исключением государственных и муниципальных организаций</t>
  </si>
  <si>
    <t>650 0408 0330303 810 242</t>
  </si>
  <si>
    <t>650 0408 0337403 810 242</t>
  </si>
  <si>
    <t>650 0409 0317403 244 225</t>
  </si>
  <si>
    <t>650 0409 0327403 244 225</t>
  </si>
  <si>
    <t>650 0409 0327403 244 340</t>
  </si>
  <si>
    <t>650 0410 6000240 242 221</t>
  </si>
  <si>
    <t>650 0410 6000240 242 226</t>
  </si>
  <si>
    <t>650 0410 6000240 242 310</t>
  </si>
  <si>
    <t>650 0412 0807408 244 225</t>
  </si>
  <si>
    <t>650 0412 0807408 244 226</t>
  </si>
  <si>
    <t>650 0501 0407404 244 226</t>
  </si>
  <si>
    <t>650 0501 6000354 243 290</t>
  </si>
  <si>
    <t>650 0502 6000351 810 242</t>
  </si>
  <si>
    <t>650 0502 6005430 540 251</t>
  </si>
  <si>
    <t>650 0502 6005436 540 251</t>
  </si>
  <si>
    <t>650 0502 6006430 540 251</t>
  </si>
  <si>
    <t>650 0502 6006436 540 251</t>
  </si>
  <si>
    <t>650 0502 6007001 810 242</t>
  </si>
  <si>
    <t>650 0503 0510610 244 223</t>
  </si>
  <si>
    <t>650 0503 0510610 244 225</t>
  </si>
  <si>
    <t>650 0503 0510610 244 340</t>
  </si>
  <si>
    <t>650 0503 0520640 244 225</t>
  </si>
  <si>
    <t>650 0503 0540650 244 225</t>
  </si>
  <si>
    <t>650 0503 0540650 244 310</t>
  </si>
  <si>
    <t>650 0503 0540650 244 340</t>
  </si>
  <si>
    <t>650 0503 0550650 244 225</t>
  </si>
  <si>
    <t>650 0503 0550650 244 290</t>
  </si>
  <si>
    <t>650 0503 0550650 244 340</t>
  </si>
  <si>
    <t>650 0503 0555608 244 310</t>
  </si>
  <si>
    <t>650 0503 0705402 244 225</t>
  </si>
  <si>
    <t>650 0503 0706402 244 225</t>
  </si>
  <si>
    <t>650 0503 0707402 244 225</t>
  </si>
  <si>
    <t>650 0505 6000204 540 251</t>
  </si>
  <si>
    <t>650 0605 0547006 244 310</t>
  </si>
  <si>
    <t>650 0707 0620059 111 211</t>
  </si>
  <si>
    <t>650 0707 0620059 111 213</t>
  </si>
  <si>
    <t>650 0707 0620059 112 212</t>
  </si>
  <si>
    <t>650 0707 0627406 244 290</t>
  </si>
  <si>
    <t>650 0707 0627406 244 310</t>
  </si>
  <si>
    <t>650 0707 0627406 244 340</t>
  </si>
  <si>
    <t>650 0801 0610059 111 211</t>
  </si>
  <si>
    <t>650 0801 0610059 111 213</t>
  </si>
  <si>
    <t>650 0801 0610059 112 212</t>
  </si>
  <si>
    <t>650 0801 0610059 242 221</t>
  </si>
  <si>
    <t>650 0801 0610059 244 221</t>
  </si>
  <si>
    <t>650 0801 0610059 244 222</t>
  </si>
  <si>
    <t>650 0801 0610059 244 223</t>
  </si>
  <si>
    <t>650 0801 0610059 244 225</t>
  </si>
  <si>
    <t>650 0801 0610059 244 226</t>
  </si>
  <si>
    <t>650 0801 0610059 244 310</t>
  </si>
  <si>
    <t>650 0801 0610059 244 340</t>
  </si>
  <si>
    <t>650 0801 0610059 851 290</t>
  </si>
  <si>
    <t>650 0801 0610059 852 290</t>
  </si>
  <si>
    <t>650 0801 0615471 111 211</t>
  </si>
  <si>
    <t>650 0801 0615471 111 213</t>
  </si>
  <si>
    <t>650 0801 0616471 111 211</t>
  </si>
  <si>
    <t>650 0801 0616471 111 213</t>
  </si>
  <si>
    <t>650 0804 0617406 244 290</t>
  </si>
  <si>
    <t>650 0804 0617406 244 340</t>
  </si>
  <si>
    <t>650 0804 0707407 244 290</t>
  </si>
  <si>
    <t>650 0804 0707407 244 340</t>
  </si>
  <si>
    <t>Пенсии, пособия, выплачиваемые организациями сектора государственного управления</t>
  </si>
  <si>
    <t>650 1001 0120022 321 263</t>
  </si>
  <si>
    <t>650 1101 0637004 244 290</t>
  </si>
  <si>
    <t>650 1101 0637004 244 310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</si>
  <si>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</si>
  <si>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</si>
  <si>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</si>
  <si>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</si>
  <si>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</si>
  <si>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</si>
  <si>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</si>
  <si>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</si>
  <si>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</si>
  <si>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</si>
  <si>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</si>
  <si>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</si>
  <si>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</si>
  <si>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</si>
  <si>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</si>
  <si>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</si>
  <si>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</si>
  <si>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 xml:space="preserve">     уменьшение остатков средств</t>
  </si>
  <si>
    <t>720</t>
  </si>
  <si>
    <t xml:space="preserve">   25 августа 2015 г.   </t>
  </si>
  <si>
    <t>Форма 0503117 с.1</t>
  </si>
  <si>
    <t>650 01050201 13 0000 510</t>
  </si>
  <si>
    <t>650 01050201 13 0000 610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</si>
</sst>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right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right" vertical="center" wrapText="1"/>
    </xf>
    <xf numFmtId="0" fontId="3" fillId="2" borderId="19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left" wrapText="1"/>
    </xf>
    <xf numFmtId="0" fontId="4" fillId="2" borderId="2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3" fillId="2" borderId="23" xfId="0" applyNumberFormat="1" applyFont="1" applyFill="1" applyBorder="1" applyAlignment="1">
      <alignment horizontal="right" vertical="center" wrapText="1"/>
    </xf>
    <xf numFmtId="0" fontId="5" fillId="2" borderId="24" xfId="0" applyNumberFormat="1" applyFont="1" applyFill="1" applyBorder="1" applyAlignment="1">
      <alignment horizontal="center" wrapText="1"/>
    </xf>
    <xf numFmtId="0" fontId="3" fillId="2" borderId="1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25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left" vertical="center" wrapText="1"/>
    </xf>
    <xf numFmtId="0" fontId="3" fillId="2" borderId="28" xfId="0" applyNumberFormat="1" applyFont="1" applyFill="1" applyBorder="1" applyAlignment="1">
      <alignment horizontal="right" vertical="center" wrapText="1"/>
    </xf>
    <xf numFmtId="0" fontId="3" fillId="2" borderId="29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3" fillId="2" borderId="30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right" vertical="center" wrapText="1"/>
    </xf>
    <xf numFmtId="4" fontId="3" fillId="2" borderId="31" xfId="0" applyNumberFormat="1" applyFont="1" applyFill="1" applyBorder="1" applyAlignment="1">
      <alignment horizontal="right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workbookViewId="0" topLeftCell="A142">
      <selection activeCell="J177" sqref="J177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  <col min="16" max="16384" width="11.57421875" style="0" customWidth="1"/>
  </cols>
  <sheetData>
    <row r="1" spans="1:15" s="1" customFormat="1" ht="13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 t="s">
        <v>1</v>
      </c>
    </row>
    <row r="2" spans="1:15" s="1" customFormat="1" ht="13.5" customHeight="1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" t="s">
        <v>3</v>
      </c>
    </row>
    <row r="3" spans="1:15" s="1" customFormat="1" ht="13.5" customHeight="1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 t="s">
        <v>5</v>
      </c>
      <c r="N3" s="29"/>
      <c r="O3" s="4">
        <v>42217</v>
      </c>
    </row>
    <row r="4" spans="1:15" s="1" customFormat="1" ht="13.5" customHeight="1">
      <c r="A4" s="30" t="s">
        <v>6</v>
      </c>
      <c r="B4" s="30"/>
      <c r="C4" s="30"/>
      <c r="D4" s="31" t="s">
        <v>7</v>
      </c>
      <c r="E4" s="31"/>
      <c r="F4" s="31"/>
      <c r="G4" s="31"/>
      <c r="H4" s="31"/>
      <c r="I4" s="31"/>
      <c r="J4" s="31"/>
      <c r="K4" s="31"/>
      <c r="L4" s="29" t="s">
        <v>8</v>
      </c>
      <c r="M4" s="29"/>
      <c r="N4" s="29"/>
      <c r="O4" s="5" t="s">
        <v>9</v>
      </c>
    </row>
    <row r="5" spans="1:15" s="1" customFormat="1" ht="13.5" customHeight="1">
      <c r="A5" s="30"/>
      <c r="B5" s="30"/>
      <c r="C5" s="30"/>
      <c r="D5" s="31"/>
      <c r="E5" s="31"/>
      <c r="F5" s="31"/>
      <c r="G5" s="31"/>
      <c r="H5" s="31"/>
      <c r="I5" s="31"/>
      <c r="J5" s="31"/>
      <c r="K5" s="31"/>
      <c r="L5" s="29" t="s">
        <v>10</v>
      </c>
      <c r="M5" s="29"/>
      <c r="N5" s="29"/>
      <c r="O5" s="5" t="s">
        <v>11</v>
      </c>
    </row>
    <row r="6" spans="1:15" s="1" customFormat="1" ht="13.5" customHeight="1">
      <c r="A6" s="30" t="s">
        <v>12</v>
      </c>
      <c r="B6" s="30"/>
      <c r="C6" s="30"/>
      <c r="D6" s="30"/>
      <c r="E6" s="31" t="s">
        <v>13</v>
      </c>
      <c r="F6" s="31"/>
      <c r="G6" s="31"/>
      <c r="H6" s="31"/>
      <c r="I6" s="31"/>
      <c r="J6" s="31"/>
      <c r="K6" s="31"/>
      <c r="L6" s="29" t="s">
        <v>14</v>
      </c>
      <c r="M6" s="29"/>
      <c r="N6" s="29"/>
      <c r="O6" s="5" t="s">
        <v>15</v>
      </c>
    </row>
    <row r="7" spans="1:15" s="1" customFormat="1" ht="13.5" customHeight="1">
      <c r="A7" s="6" t="s">
        <v>16</v>
      </c>
      <c r="B7" s="30" t="s">
        <v>17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5"/>
    </row>
    <row r="8" spans="1:15" s="1" customFormat="1" ht="13.5" customHeight="1">
      <c r="A8" s="30" t="s">
        <v>18</v>
      </c>
      <c r="B8" s="30"/>
      <c r="C8" s="30" t="s">
        <v>19</v>
      </c>
      <c r="D8" s="30"/>
      <c r="E8" s="30"/>
      <c r="F8" s="30"/>
      <c r="G8" s="30"/>
      <c r="H8" s="30"/>
      <c r="I8" s="30"/>
      <c r="J8" s="30"/>
      <c r="K8" s="29" t="s">
        <v>20</v>
      </c>
      <c r="L8" s="29"/>
      <c r="M8" s="29"/>
      <c r="N8" s="29"/>
      <c r="O8" s="7" t="s">
        <v>21</v>
      </c>
    </row>
    <row r="9" spans="1:15" s="1" customFormat="1" ht="13.5" customHeight="1">
      <c r="A9" s="32" t="s">
        <v>22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s="1" customFormat="1" ht="34.5" customHeight="1">
      <c r="A10" s="33" t="s">
        <v>23</v>
      </c>
      <c r="B10" s="33"/>
      <c r="C10" s="33"/>
      <c r="D10" s="33"/>
      <c r="E10" s="33"/>
      <c r="F10" s="33"/>
      <c r="G10" s="8" t="s">
        <v>24</v>
      </c>
      <c r="H10" s="8" t="s">
        <v>25</v>
      </c>
      <c r="I10" s="9" t="s">
        <v>26</v>
      </c>
      <c r="J10" s="34" t="s">
        <v>27</v>
      </c>
      <c r="K10" s="34"/>
      <c r="L10" s="34"/>
      <c r="M10" s="34"/>
      <c r="N10" s="35" t="s">
        <v>28</v>
      </c>
      <c r="O10" s="35"/>
    </row>
    <row r="11" spans="1:15" s="1" customFormat="1" ht="12.75" customHeight="1">
      <c r="A11" s="36" t="s">
        <v>29</v>
      </c>
      <c r="B11" s="36"/>
      <c r="C11" s="36"/>
      <c r="D11" s="36"/>
      <c r="E11" s="36"/>
      <c r="F11" s="36"/>
      <c r="G11" s="10" t="s">
        <v>30</v>
      </c>
      <c r="H11" s="10" t="s">
        <v>31</v>
      </c>
      <c r="I11" s="11" t="s">
        <v>32</v>
      </c>
      <c r="J11" s="37" t="s">
        <v>33</v>
      </c>
      <c r="K11" s="37"/>
      <c r="L11" s="37"/>
      <c r="M11" s="37"/>
      <c r="N11" s="38" t="s">
        <v>34</v>
      </c>
      <c r="O11" s="38"/>
    </row>
    <row r="12" spans="1:15" s="1" customFormat="1" ht="13.5" customHeight="1">
      <c r="A12" s="39" t="s">
        <v>35</v>
      </c>
      <c r="B12" s="39"/>
      <c r="C12" s="39"/>
      <c r="D12" s="39"/>
      <c r="E12" s="39"/>
      <c r="F12" s="39"/>
      <c r="G12" s="12" t="s">
        <v>36</v>
      </c>
      <c r="H12" s="12" t="s">
        <v>37</v>
      </c>
      <c r="I12" s="13">
        <f>50534846.2</f>
        <v>50534846.2</v>
      </c>
      <c r="J12" s="40">
        <f>30417302.26</f>
        <v>30417302.26</v>
      </c>
      <c r="K12" s="40"/>
      <c r="L12" s="40"/>
      <c r="M12" s="40"/>
      <c r="N12" s="41">
        <f>20117543.94</f>
        <v>20117543.94</v>
      </c>
      <c r="O12" s="41"/>
    </row>
    <row r="13" spans="1:15" s="1" customFormat="1" ht="45" customHeight="1">
      <c r="A13" s="42" t="s">
        <v>38</v>
      </c>
      <c r="B13" s="42"/>
      <c r="C13" s="42"/>
      <c r="D13" s="42"/>
      <c r="E13" s="42"/>
      <c r="F13" s="42"/>
      <c r="G13" s="14" t="s">
        <v>36</v>
      </c>
      <c r="H13" s="14" t="s">
        <v>39</v>
      </c>
      <c r="I13" s="15">
        <f>245000</f>
        <v>245000</v>
      </c>
      <c r="J13" s="43">
        <f>443736.25</f>
        <v>443736.25</v>
      </c>
      <c r="K13" s="43"/>
      <c r="L13" s="43"/>
      <c r="M13" s="43"/>
      <c r="N13" s="44">
        <f>-198736.25</f>
        <v>-198736.25</v>
      </c>
      <c r="O13" s="44"/>
    </row>
    <row r="14" spans="1:15" s="1" customFormat="1" ht="24" customHeight="1">
      <c r="A14" s="42" t="s">
        <v>40</v>
      </c>
      <c r="B14" s="42"/>
      <c r="C14" s="42"/>
      <c r="D14" s="42"/>
      <c r="E14" s="42"/>
      <c r="F14" s="42"/>
      <c r="G14" s="14" t="s">
        <v>36</v>
      </c>
      <c r="H14" s="14" t="s">
        <v>41</v>
      </c>
      <c r="I14" s="15">
        <f>30000</f>
        <v>30000</v>
      </c>
      <c r="J14" s="43">
        <f>52720.41</f>
        <v>52720.41</v>
      </c>
      <c r="K14" s="43"/>
      <c r="L14" s="43"/>
      <c r="M14" s="43"/>
      <c r="N14" s="44">
        <f>-22720.41</f>
        <v>-22720.41</v>
      </c>
      <c r="O14" s="44"/>
    </row>
    <row r="15" spans="1:15" s="1" customFormat="1" ht="45" customHeight="1">
      <c r="A15" s="42" t="s">
        <v>42</v>
      </c>
      <c r="B15" s="42"/>
      <c r="C15" s="42"/>
      <c r="D15" s="42"/>
      <c r="E15" s="42"/>
      <c r="F15" s="42"/>
      <c r="G15" s="14" t="s">
        <v>36</v>
      </c>
      <c r="H15" s="14" t="s">
        <v>43</v>
      </c>
      <c r="I15" s="15">
        <f>4108700</f>
        <v>4108700</v>
      </c>
      <c r="J15" s="43">
        <f>2456432.06</f>
        <v>2456432.06</v>
      </c>
      <c r="K15" s="43"/>
      <c r="L15" s="43"/>
      <c r="M15" s="43"/>
      <c r="N15" s="44">
        <f>1652267.94</f>
        <v>1652267.94</v>
      </c>
      <c r="O15" s="44"/>
    </row>
    <row r="16" spans="1:15" s="1" customFormat="1" ht="66" customHeight="1">
      <c r="A16" s="42" t="s">
        <v>44</v>
      </c>
      <c r="B16" s="42"/>
      <c r="C16" s="42"/>
      <c r="D16" s="42"/>
      <c r="E16" s="42"/>
      <c r="F16" s="42"/>
      <c r="G16" s="14" t="s">
        <v>36</v>
      </c>
      <c r="H16" s="14" t="s">
        <v>45</v>
      </c>
      <c r="I16" s="16" t="s">
        <v>46</v>
      </c>
      <c r="J16" s="43">
        <f>100</f>
        <v>100</v>
      </c>
      <c r="K16" s="43"/>
      <c r="L16" s="43"/>
      <c r="M16" s="43"/>
      <c r="N16" s="44">
        <f>0</f>
        <v>0</v>
      </c>
      <c r="O16" s="44"/>
    </row>
    <row r="17" spans="1:15" s="1" customFormat="1" ht="24" customHeight="1">
      <c r="A17" s="42" t="s">
        <v>47</v>
      </c>
      <c r="B17" s="42"/>
      <c r="C17" s="42"/>
      <c r="D17" s="42"/>
      <c r="E17" s="42"/>
      <c r="F17" s="42"/>
      <c r="G17" s="14" t="s">
        <v>36</v>
      </c>
      <c r="H17" s="14" t="s">
        <v>48</v>
      </c>
      <c r="I17" s="16" t="s">
        <v>46</v>
      </c>
      <c r="J17" s="43">
        <f>11371.47</f>
        <v>11371.47</v>
      </c>
      <c r="K17" s="43"/>
      <c r="L17" s="43"/>
      <c r="M17" s="43"/>
      <c r="N17" s="44">
        <f>0</f>
        <v>0</v>
      </c>
      <c r="O17" s="44"/>
    </row>
    <row r="18" spans="1:15" s="1" customFormat="1" ht="13.5" customHeight="1">
      <c r="A18" s="42" t="s">
        <v>49</v>
      </c>
      <c r="B18" s="42"/>
      <c r="C18" s="42"/>
      <c r="D18" s="42"/>
      <c r="E18" s="42"/>
      <c r="F18" s="42"/>
      <c r="G18" s="14" t="s">
        <v>36</v>
      </c>
      <c r="H18" s="14" t="s">
        <v>50</v>
      </c>
      <c r="I18" s="15">
        <f>755000</f>
        <v>755000</v>
      </c>
      <c r="J18" s="43">
        <f>821829.7</f>
        <v>821829.7</v>
      </c>
      <c r="K18" s="43"/>
      <c r="L18" s="43"/>
      <c r="M18" s="43"/>
      <c r="N18" s="44">
        <f>-66829.7</f>
        <v>-66829.7</v>
      </c>
      <c r="O18" s="44"/>
    </row>
    <row r="19" spans="1:15" s="1" customFormat="1" ht="24" customHeight="1">
      <c r="A19" s="42" t="s">
        <v>51</v>
      </c>
      <c r="B19" s="42"/>
      <c r="C19" s="42"/>
      <c r="D19" s="42"/>
      <c r="E19" s="42"/>
      <c r="F19" s="42"/>
      <c r="G19" s="14" t="s">
        <v>36</v>
      </c>
      <c r="H19" s="14" t="s">
        <v>52</v>
      </c>
      <c r="I19" s="16" t="s">
        <v>46</v>
      </c>
      <c r="J19" s="43">
        <f>-11060.31</f>
        <v>-11060.31</v>
      </c>
      <c r="K19" s="43"/>
      <c r="L19" s="43"/>
      <c r="M19" s="43"/>
      <c r="N19" s="44">
        <f>0</f>
        <v>0</v>
      </c>
      <c r="O19" s="44"/>
    </row>
    <row r="20" spans="1:15" s="1" customFormat="1" ht="13.5" customHeight="1">
      <c r="A20" s="42" t="s">
        <v>53</v>
      </c>
      <c r="B20" s="42"/>
      <c r="C20" s="42"/>
      <c r="D20" s="42"/>
      <c r="E20" s="42"/>
      <c r="F20" s="42"/>
      <c r="G20" s="14" t="s">
        <v>36</v>
      </c>
      <c r="H20" s="14" t="s">
        <v>54</v>
      </c>
      <c r="I20" s="15">
        <f>83000</f>
        <v>83000</v>
      </c>
      <c r="J20" s="43">
        <f>256855.07</f>
        <v>256855.07</v>
      </c>
      <c r="K20" s="43"/>
      <c r="L20" s="43"/>
      <c r="M20" s="43"/>
      <c r="N20" s="44">
        <f>-173855.07</f>
        <v>-173855.07</v>
      </c>
      <c r="O20" s="44"/>
    </row>
    <row r="21" spans="1:15" s="1" customFormat="1" ht="24" customHeight="1">
      <c r="A21" s="42" t="s">
        <v>55</v>
      </c>
      <c r="B21" s="42"/>
      <c r="C21" s="42"/>
      <c r="D21" s="42"/>
      <c r="E21" s="42"/>
      <c r="F21" s="42"/>
      <c r="G21" s="14" t="s">
        <v>36</v>
      </c>
      <c r="H21" s="14" t="s">
        <v>56</v>
      </c>
      <c r="I21" s="15">
        <f>717000</f>
        <v>717000</v>
      </c>
      <c r="J21" s="43">
        <f>185358.9</f>
        <v>185358.9</v>
      </c>
      <c r="K21" s="43"/>
      <c r="L21" s="43"/>
      <c r="M21" s="43"/>
      <c r="N21" s="44">
        <f>531641.1</f>
        <v>531641.1</v>
      </c>
      <c r="O21" s="44"/>
    </row>
    <row r="22" spans="1:15" s="1" customFormat="1" ht="45" customHeight="1">
      <c r="A22" s="42" t="s">
        <v>57</v>
      </c>
      <c r="B22" s="42"/>
      <c r="C22" s="42"/>
      <c r="D22" s="42"/>
      <c r="E22" s="42"/>
      <c r="F22" s="42"/>
      <c r="G22" s="14" t="s">
        <v>36</v>
      </c>
      <c r="H22" s="14" t="s">
        <v>58</v>
      </c>
      <c r="I22" s="15">
        <f>447000</f>
        <v>447000</v>
      </c>
      <c r="J22" s="43">
        <f>282121.9</f>
        <v>282121.9</v>
      </c>
      <c r="K22" s="43"/>
      <c r="L22" s="43"/>
      <c r="M22" s="43"/>
      <c r="N22" s="44">
        <f>164878.1</f>
        <v>164878.1</v>
      </c>
      <c r="O22" s="44"/>
    </row>
    <row r="23" spans="1:15" s="1" customFormat="1" ht="45" customHeight="1">
      <c r="A23" s="42" t="s">
        <v>59</v>
      </c>
      <c r="B23" s="42"/>
      <c r="C23" s="42"/>
      <c r="D23" s="42"/>
      <c r="E23" s="42"/>
      <c r="F23" s="42"/>
      <c r="G23" s="14" t="s">
        <v>36</v>
      </c>
      <c r="H23" s="14" t="s">
        <v>60</v>
      </c>
      <c r="I23" s="15">
        <f>150000</f>
        <v>150000</v>
      </c>
      <c r="J23" s="43">
        <f>68254.32</f>
        <v>68254.32</v>
      </c>
      <c r="K23" s="43"/>
      <c r="L23" s="43"/>
      <c r="M23" s="43"/>
      <c r="N23" s="44">
        <f>81745.68</f>
        <v>81745.68</v>
      </c>
      <c r="O23" s="44"/>
    </row>
    <row r="24" spans="1:15" s="1" customFormat="1" ht="45" customHeight="1">
      <c r="A24" s="42" t="s">
        <v>61</v>
      </c>
      <c r="B24" s="42"/>
      <c r="C24" s="42"/>
      <c r="D24" s="42"/>
      <c r="E24" s="42"/>
      <c r="F24" s="42"/>
      <c r="G24" s="14" t="s">
        <v>36</v>
      </c>
      <c r="H24" s="14" t="s">
        <v>62</v>
      </c>
      <c r="I24" s="15">
        <f>105000</f>
        <v>105000</v>
      </c>
      <c r="J24" s="43">
        <f>66120</f>
        <v>66120</v>
      </c>
      <c r="K24" s="43"/>
      <c r="L24" s="43"/>
      <c r="M24" s="43"/>
      <c r="N24" s="44">
        <f>38880</f>
        <v>38880</v>
      </c>
      <c r="O24" s="44"/>
    </row>
    <row r="25" spans="1:15" s="1" customFormat="1" ht="33.75" customHeight="1">
      <c r="A25" s="42" t="s">
        <v>63</v>
      </c>
      <c r="B25" s="42"/>
      <c r="C25" s="42"/>
      <c r="D25" s="42"/>
      <c r="E25" s="42"/>
      <c r="F25" s="42"/>
      <c r="G25" s="14" t="s">
        <v>36</v>
      </c>
      <c r="H25" s="14" t="s">
        <v>64</v>
      </c>
      <c r="I25" s="15">
        <f>100000</f>
        <v>100000</v>
      </c>
      <c r="J25" s="43">
        <f>51001</f>
        <v>51001</v>
      </c>
      <c r="K25" s="43"/>
      <c r="L25" s="43"/>
      <c r="M25" s="43"/>
      <c r="N25" s="44">
        <f>48999</f>
        <v>48999</v>
      </c>
      <c r="O25" s="44"/>
    </row>
    <row r="26" spans="1:15" s="1" customFormat="1" ht="24" customHeight="1">
      <c r="A26" s="42" t="s">
        <v>65</v>
      </c>
      <c r="B26" s="42"/>
      <c r="C26" s="42"/>
      <c r="D26" s="42"/>
      <c r="E26" s="42"/>
      <c r="F26" s="42"/>
      <c r="G26" s="14" t="s">
        <v>36</v>
      </c>
      <c r="H26" s="14" t="s">
        <v>66</v>
      </c>
      <c r="I26" s="15">
        <f>1319300</f>
        <v>1319300</v>
      </c>
      <c r="J26" s="43">
        <f>808853.99</f>
        <v>808853.99</v>
      </c>
      <c r="K26" s="43"/>
      <c r="L26" s="43"/>
      <c r="M26" s="43"/>
      <c r="N26" s="44">
        <f>510446.01</f>
        <v>510446.01</v>
      </c>
      <c r="O26" s="44"/>
    </row>
    <row r="27" spans="1:15" s="1" customFormat="1" ht="45" customHeight="1">
      <c r="A27" s="42" t="s">
        <v>67</v>
      </c>
      <c r="B27" s="42"/>
      <c r="C27" s="42"/>
      <c r="D27" s="42"/>
      <c r="E27" s="42"/>
      <c r="F27" s="42"/>
      <c r="G27" s="14" t="s">
        <v>36</v>
      </c>
      <c r="H27" s="14" t="s">
        <v>68</v>
      </c>
      <c r="I27" s="15">
        <f>710000</f>
        <v>710000</v>
      </c>
      <c r="J27" s="43">
        <f>492244.91</f>
        <v>492244.91</v>
      </c>
      <c r="K27" s="43"/>
      <c r="L27" s="43"/>
      <c r="M27" s="43"/>
      <c r="N27" s="44">
        <f>217755.09</f>
        <v>217755.09</v>
      </c>
      <c r="O27" s="44"/>
    </row>
    <row r="28" spans="1:15" s="1" customFormat="1" ht="24" customHeight="1">
      <c r="A28" s="42" t="s">
        <v>69</v>
      </c>
      <c r="B28" s="42"/>
      <c r="C28" s="42"/>
      <c r="D28" s="42"/>
      <c r="E28" s="42"/>
      <c r="F28" s="42"/>
      <c r="G28" s="14" t="s">
        <v>36</v>
      </c>
      <c r="H28" s="14" t="s">
        <v>70</v>
      </c>
      <c r="I28" s="15">
        <f>410000</f>
        <v>410000</v>
      </c>
      <c r="J28" s="43">
        <f>94801</f>
        <v>94801</v>
      </c>
      <c r="K28" s="43"/>
      <c r="L28" s="43"/>
      <c r="M28" s="43"/>
      <c r="N28" s="44">
        <f>315199</f>
        <v>315199</v>
      </c>
      <c r="O28" s="44"/>
    </row>
    <row r="29" spans="1:15" s="1" customFormat="1" ht="13.5" customHeight="1">
      <c r="A29" s="42" t="s">
        <v>71</v>
      </c>
      <c r="B29" s="42"/>
      <c r="C29" s="42"/>
      <c r="D29" s="42"/>
      <c r="E29" s="42"/>
      <c r="F29" s="42"/>
      <c r="G29" s="14" t="s">
        <v>36</v>
      </c>
      <c r="H29" s="14" t="s">
        <v>72</v>
      </c>
      <c r="I29" s="15">
        <f>200000</f>
        <v>200000</v>
      </c>
      <c r="J29" s="43">
        <f>191376.82</f>
        <v>191376.82</v>
      </c>
      <c r="K29" s="43"/>
      <c r="L29" s="43"/>
      <c r="M29" s="43"/>
      <c r="N29" s="44">
        <f>8623.18</f>
        <v>8623.18</v>
      </c>
      <c r="O29" s="44"/>
    </row>
    <row r="30" spans="1:15" s="1" customFormat="1" ht="54.75" customHeight="1">
      <c r="A30" s="42" t="s">
        <v>73</v>
      </c>
      <c r="B30" s="42"/>
      <c r="C30" s="42"/>
      <c r="D30" s="42"/>
      <c r="E30" s="42"/>
      <c r="F30" s="42"/>
      <c r="G30" s="14" t="s">
        <v>36</v>
      </c>
      <c r="H30" s="14" t="s">
        <v>74</v>
      </c>
      <c r="I30" s="15">
        <f>136000</f>
        <v>136000</v>
      </c>
      <c r="J30" s="43">
        <f>151000</f>
        <v>151000</v>
      </c>
      <c r="K30" s="43"/>
      <c r="L30" s="43"/>
      <c r="M30" s="43"/>
      <c r="N30" s="44">
        <f>-15000</f>
        <v>-15000</v>
      </c>
      <c r="O30" s="44"/>
    </row>
    <row r="31" spans="1:15" s="1" customFormat="1" ht="13.5" customHeight="1">
      <c r="A31" s="42" t="s">
        <v>75</v>
      </c>
      <c r="B31" s="42"/>
      <c r="C31" s="42"/>
      <c r="D31" s="42"/>
      <c r="E31" s="42"/>
      <c r="F31" s="42"/>
      <c r="G31" s="14" t="s">
        <v>36</v>
      </c>
      <c r="H31" s="14" t="s">
        <v>76</v>
      </c>
      <c r="I31" s="16" t="s">
        <v>46</v>
      </c>
      <c r="J31" s="43">
        <f>2000</f>
        <v>2000</v>
      </c>
      <c r="K31" s="43"/>
      <c r="L31" s="43"/>
      <c r="M31" s="43"/>
      <c r="N31" s="44">
        <f>0</f>
        <v>0</v>
      </c>
      <c r="O31" s="44"/>
    </row>
    <row r="32" spans="1:15" s="1" customFormat="1" ht="13.5" customHeight="1">
      <c r="A32" s="42" t="s">
        <v>77</v>
      </c>
      <c r="B32" s="42"/>
      <c r="C32" s="42"/>
      <c r="D32" s="42"/>
      <c r="E32" s="42"/>
      <c r="F32" s="42"/>
      <c r="G32" s="14" t="s">
        <v>36</v>
      </c>
      <c r="H32" s="14" t="s">
        <v>78</v>
      </c>
      <c r="I32" s="15">
        <f>25689000</f>
        <v>25689000</v>
      </c>
      <c r="J32" s="43">
        <f>15207846.67</f>
        <v>15207846.67</v>
      </c>
      <c r="K32" s="43"/>
      <c r="L32" s="43"/>
      <c r="M32" s="43"/>
      <c r="N32" s="44">
        <f>10481153.33</f>
        <v>10481153.33</v>
      </c>
      <c r="O32" s="44"/>
    </row>
    <row r="33" spans="1:15" s="1" customFormat="1" ht="24" customHeight="1">
      <c r="A33" s="42" t="s">
        <v>79</v>
      </c>
      <c r="B33" s="42"/>
      <c r="C33" s="42"/>
      <c r="D33" s="42"/>
      <c r="E33" s="42"/>
      <c r="F33" s="42"/>
      <c r="G33" s="14" t="s">
        <v>36</v>
      </c>
      <c r="H33" s="14" t="s">
        <v>80</v>
      </c>
      <c r="I33" s="15">
        <f>4138276</f>
        <v>4138276</v>
      </c>
      <c r="J33" s="43">
        <f>4138276</f>
        <v>4138276</v>
      </c>
      <c r="K33" s="43"/>
      <c r="L33" s="43"/>
      <c r="M33" s="43"/>
      <c r="N33" s="44">
        <f>0</f>
        <v>0</v>
      </c>
      <c r="O33" s="44"/>
    </row>
    <row r="34" spans="1:15" s="1" customFormat="1" ht="13.5" customHeight="1">
      <c r="A34" s="42" t="s">
        <v>81</v>
      </c>
      <c r="B34" s="42"/>
      <c r="C34" s="42"/>
      <c r="D34" s="42"/>
      <c r="E34" s="42"/>
      <c r="F34" s="42"/>
      <c r="G34" s="14" t="s">
        <v>36</v>
      </c>
      <c r="H34" s="14" t="s">
        <v>82</v>
      </c>
      <c r="I34" s="15">
        <f>211015</f>
        <v>211015</v>
      </c>
      <c r="J34" s="43">
        <f>120000</f>
        <v>120000</v>
      </c>
      <c r="K34" s="43"/>
      <c r="L34" s="43"/>
      <c r="M34" s="43"/>
      <c r="N34" s="44">
        <f>91015</f>
        <v>91015</v>
      </c>
      <c r="O34" s="44"/>
    </row>
    <row r="35" spans="1:15" s="1" customFormat="1" ht="24" customHeight="1">
      <c r="A35" s="42" t="s">
        <v>83</v>
      </c>
      <c r="B35" s="42"/>
      <c r="C35" s="42"/>
      <c r="D35" s="42"/>
      <c r="E35" s="42"/>
      <c r="F35" s="42"/>
      <c r="G35" s="14" t="s">
        <v>36</v>
      </c>
      <c r="H35" s="14" t="s">
        <v>84</v>
      </c>
      <c r="I35" s="15">
        <f>120000</f>
        <v>120000</v>
      </c>
      <c r="J35" s="43">
        <f>120000</f>
        <v>120000</v>
      </c>
      <c r="K35" s="43"/>
      <c r="L35" s="43"/>
      <c r="M35" s="43"/>
      <c r="N35" s="44">
        <f>0</f>
        <v>0</v>
      </c>
      <c r="O35" s="44"/>
    </row>
    <row r="36" spans="1:15" s="1" customFormat="1" ht="24" customHeight="1">
      <c r="A36" s="42" t="s">
        <v>85</v>
      </c>
      <c r="B36" s="42"/>
      <c r="C36" s="42"/>
      <c r="D36" s="42"/>
      <c r="E36" s="42"/>
      <c r="F36" s="42"/>
      <c r="G36" s="14" t="s">
        <v>36</v>
      </c>
      <c r="H36" s="14" t="s">
        <v>86</v>
      </c>
      <c r="I36" s="15">
        <f>723970</f>
        <v>723970</v>
      </c>
      <c r="J36" s="43">
        <f>723970</f>
        <v>723970</v>
      </c>
      <c r="K36" s="43"/>
      <c r="L36" s="43"/>
      <c r="M36" s="43"/>
      <c r="N36" s="44">
        <f>0</f>
        <v>0</v>
      </c>
      <c r="O36" s="44"/>
    </row>
    <row r="37" spans="1:15" s="1" customFormat="1" ht="13.5" customHeight="1">
      <c r="A37" s="42" t="s">
        <v>87</v>
      </c>
      <c r="B37" s="42"/>
      <c r="C37" s="42"/>
      <c r="D37" s="42"/>
      <c r="E37" s="42"/>
      <c r="F37" s="42"/>
      <c r="G37" s="14" t="s">
        <v>36</v>
      </c>
      <c r="H37" s="14" t="s">
        <v>88</v>
      </c>
      <c r="I37" s="15">
        <f>10136585.2</f>
        <v>10136585.2</v>
      </c>
      <c r="J37" s="43">
        <f>3682092.1</f>
        <v>3682092.1</v>
      </c>
      <c r="K37" s="43"/>
      <c r="L37" s="43"/>
      <c r="M37" s="43"/>
      <c r="N37" s="44">
        <f>6454493.1</f>
        <v>6454493.1</v>
      </c>
      <c r="O37" s="44"/>
    </row>
    <row r="38" spans="1:15" s="1" customFormat="1" ht="13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s="1" customFormat="1" ht="13.5" customHeight="1">
      <c r="A39" s="32" t="s">
        <v>89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s="1" customFormat="1" ht="34.5" customHeight="1">
      <c r="A40" s="33" t="s">
        <v>23</v>
      </c>
      <c r="B40" s="33"/>
      <c r="C40" s="33"/>
      <c r="D40" s="33"/>
      <c r="E40" s="33"/>
      <c r="F40" s="33"/>
      <c r="G40" s="8" t="s">
        <v>24</v>
      </c>
      <c r="H40" s="8" t="s">
        <v>90</v>
      </c>
      <c r="I40" s="9" t="s">
        <v>26</v>
      </c>
      <c r="J40" s="34" t="s">
        <v>27</v>
      </c>
      <c r="K40" s="34"/>
      <c r="L40" s="34"/>
      <c r="M40" s="34"/>
      <c r="N40" s="35" t="s">
        <v>28</v>
      </c>
      <c r="O40" s="35"/>
    </row>
    <row r="41" spans="1:15" s="1" customFormat="1" ht="13.5" customHeight="1">
      <c r="A41" s="36" t="s">
        <v>29</v>
      </c>
      <c r="B41" s="36"/>
      <c r="C41" s="36"/>
      <c r="D41" s="36"/>
      <c r="E41" s="36"/>
      <c r="F41" s="36"/>
      <c r="G41" s="10" t="s">
        <v>30</v>
      </c>
      <c r="H41" s="10" t="s">
        <v>31</v>
      </c>
      <c r="I41" s="11" t="s">
        <v>32</v>
      </c>
      <c r="J41" s="37" t="s">
        <v>33</v>
      </c>
      <c r="K41" s="37"/>
      <c r="L41" s="37"/>
      <c r="M41" s="37"/>
      <c r="N41" s="38" t="s">
        <v>34</v>
      </c>
      <c r="O41" s="38"/>
    </row>
    <row r="42" spans="1:15" s="1" customFormat="1" ht="13.5" customHeight="1">
      <c r="A42" s="39" t="s">
        <v>91</v>
      </c>
      <c r="B42" s="39"/>
      <c r="C42" s="39"/>
      <c r="D42" s="39"/>
      <c r="E42" s="39"/>
      <c r="F42" s="39"/>
      <c r="G42" s="12" t="s">
        <v>92</v>
      </c>
      <c r="H42" s="12" t="s">
        <v>37</v>
      </c>
      <c r="I42" s="13">
        <f>52659112.18</f>
        <v>52659112.18</v>
      </c>
      <c r="J42" s="40">
        <f>27847935.72</f>
        <v>27847935.72</v>
      </c>
      <c r="K42" s="40"/>
      <c r="L42" s="40"/>
      <c r="M42" s="40"/>
      <c r="N42" s="41">
        <f>24811176.46</f>
        <v>24811176.46</v>
      </c>
      <c r="O42" s="41"/>
    </row>
    <row r="43" spans="1:15" s="1" customFormat="1" ht="13.5" customHeight="1">
      <c r="A43" s="46" t="s">
        <v>93</v>
      </c>
      <c r="B43" s="46"/>
      <c r="C43" s="46"/>
      <c r="D43" s="46"/>
      <c r="E43" s="46"/>
      <c r="F43" s="46"/>
      <c r="G43" s="17" t="s">
        <v>92</v>
      </c>
      <c r="H43" s="17" t="s">
        <v>94</v>
      </c>
      <c r="I43" s="18">
        <f>1350000</f>
        <v>1350000</v>
      </c>
      <c r="J43" s="47">
        <f>638969.57</f>
        <v>638969.57</v>
      </c>
      <c r="K43" s="47"/>
      <c r="L43" s="47"/>
      <c r="M43" s="47"/>
      <c r="N43" s="48">
        <f>711030.43</f>
        <v>711030.43</v>
      </c>
      <c r="O43" s="48"/>
    </row>
    <row r="44" spans="1:15" s="1" customFormat="1" ht="13.5" customHeight="1">
      <c r="A44" s="46" t="s">
        <v>95</v>
      </c>
      <c r="B44" s="46"/>
      <c r="C44" s="46"/>
      <c r="D44" s="46"/>
      <c r="E44" s="46"/>
      <c r="F44" s="46"/>
      <c r="G44" s="17" t="s">
        <v>92</v>
      </c>
      <c r="H44" s="17" t="s">
        <v>96</v>
      </c>
      <c r="I44" s="18">
        <f>280000</f>
        <v>280000</v>
      </c>
      <c r="J44" s="47">
        <f>170189.67</f>
        <v>170189.67</v>
      </c>
      <c r="K44" s="47"/>
      <c r="L44" s="47"/>
      <c r="M44" s="47"/>
      <c r="N44" s="48">
        <f>109810.33</f>
        <v>109810.33</v>
      </c>
      <c r="O44" s="48"/>
    </row>
    <row r="45" spans="1:15" s="1" customFormat="1" ht="13.5" customHeight="1">
      <c r="A45" s="46" t="s">
        <v>93</v>
      </c>
      <c r="B45" s="46"/>
      <c r="C45" s="46"/>
      <c r="D45" s="46"/>
      <c r="E45" s="46"/>
      <c r="F45" s="46"/>
      <c r="G45" s="17" t="s">
        <v>92</v>
      </c>
      <c r="H45" s="17" t="s">
        <v>97</v>
      </c>
      <c r="I45" s="18">
        <f>8800000</f>
        <v>8800000</v>
      </c>
      <c r="J45" s="47">
        <f>6129459.04</f>
        <v>6129459.04</v>
      </c>
      <c r="K45" s="47"/>
      <c r="L45" s="47"/>
      <c r="M45" s="47"/>
      <c r="N45" s="48">
        <f>2670540.96</f>
        <v>2670540.96</v>
      </c>
      <c r="O45" s="48"/>
    </row>
    <row r="46" spans="1:15" s="1" customFormat="1" ht="13.5" customHeight="1">
      <c r="A46" s="46" t="s">
        <v>95</v>
      </c>
      <c r="B46" s="46"/>
      <c r="C46" s="46"/>
      <c r="D46" s="46"/>
      <c r="E46" s="46"/>
      <c r="F46" s="46"/>
      <c r="G46" s="17" t="s">
        <v>92</v>
      </c>
      <c r="H46" s="17" t="s">
        <v>98</v>
      </c>
      <c r="I46" s="18">
        <f>2400000</f>
        <v>2400000</v>
      </c>
      <c r="J46" s="47">
        <f>1357183.09</f>
        <v>1357183.09</v>
      </c>
      <c r="K46" s="47"/>
      <c r="L46" s="47"/>
      <c r="M46" s="47"/>
      <c r="N46" s="48">
        <f>1042816.91</f>
        <v>1042816.91</v>
      </c>
      <c r="O46" s="48"/>
    </row>
    <row r="47" spans="1:15" s="1" customFormat="1" ht="13.5" customHeight="1">
      <c r="A47" s="46" t="s">
        <v>99</v>
      </c>
      <c r="B47" s="46"/>
      <c r="C47" s="46"/>
      <c r="D47" s="46"/>
      <c r="E47" s="46"/>
      <c r="F47" s="46"/>
      <c r="G47" s="17" t="s">
        <v>92</v>
      </c>
      <c r="H47" s="17" t="s">
        <v>100</v>
      </c>
      <c r="I47" s="18">
        <f>50000</f>
        <v>50000</v>
      </c>
      <c r="J47" s="47">
        <f>12000</f>
        <v>12000</v>
      </c>
      <c r="K47" s="47"/>
      <c r="L47" s="47"/>
      <c r="M47" s="47"/>
      <c r="N47" s="48">
        <f>38000</f>
        <v>38000</v>
      </c>
      <c r="O47" s="48"/>
    </row>
    <row r="48" spans="1:15" s="1" customFormat="1" ht="13.5" customHeight="1">
      <c r="A48" s="46" t="s">
        <v>101</v>
      </c>
      <c r="B48" s="46"/>
      <c r="C48" s="46"/>
      <c r="D48" s="46"/>
      <c r="E48" s="46"/>
      <c r="F48" s="46"/>
      <c r="G48" s="17" t="s">
        <v>92</v>
      </c>
      <c r="H48" s="17" t="s">
        <v>102</v>
      </c>
      <c r="I48" s="18">
        <f>100000</f>
        <v>100000</v>
      </c>
      <c r="J48" s="47">
        <f>22272</f>
        <v>22272</v>
      </c>
      <c r="K48" s="47"/>
      <c r="L48" s="47"/>
      <c r="M48" s="47"/>
      <c r="N48" s="48">
        <f>77728</f>
        <v>77728</v>
      </c>
      <c r="O48" s="48"/>
    </row>
    <row r="49" spans="1:15" s="1" customFormat="1" ht="13.5" customHeight="1">
      <c r="A49" s="46" t="s">
        <v>103</v>
      </c>
      <c r="B49" s="46"/>
      <c r="C49" s="46"/>
      <c r="D49" s="46"/>
      <c r="E49" s="46"/>
      <c r="F49" s="46"/>
      <c r="G49" s="17" t="s">
        <v>92</v>
      </c>
      <c r="H49" s="17" t="s">
        <v>104</v>
      </c>
      <c r="I49" s="18">
        <f>80000</f>
        <v>80000</v>
      </c>
      <c r="J49" s="47">
        <f>25470</f>
        <v>25470</v>
      </c>
      <c r="K49" s="47"/>
      <c r="L49" s="47"/>
      <c r="M49" s="47"/>
      <c r="N49" s="48">
        <f>54530</f>
        <v>54530</v>
      </c>
      <c r="O49" s="48"/>
    </row>
    <row r="50" spans="1:15" s="1" customFormat="1" ht="13.5" customHeight="1">
      <c r="A50" s="46" t="s">
        <v>105</v>
      </c>
      <c r="B50" s="46"/>
      <c r="C50" s="46"/>
      <c r="D50" s="46"/>
      <c r="E50" s="46"/>
      <c r="F50" s="46"/>
      <c r="G50" s="17" t="s">
        <v>92</v>
      </c>
      <c r="H50" s="17" t="s">
        <v>106</v>
      </c>
      <c r="I50" s="18">
        <f>107077</f>
        <v>107077</v>
      </c>
      <c r="J50" s="47">
        <f>80307.75</f>
        <v>80307.75</v>
      </c>
      <c r="K50" s="47"/>
      <c r="L50" s="47"/>
      <c r="M50" s="47"/>
      <c r="N50" s="48">
        <f>26769.25</f>
        <v>26769.25</v>
      </c>
      <c r="O50" s="48"/>
    </row>
    <row r="51" spans="1:15" s="1" customFormat="1" ht="13.5" customHeight="1">
      <c r="A51" s="46" t="s">
        <v>107</v>
      </c>
      <c r="B51" s="46"/>
      <c r="C51" s="46"/>
      <c r="D51" s="46"/>
      <c r="E51" s="46"/>
      <c r="F51" s="46"/>
      <c r="G51" s="17" t="s">
        <v>92</v>
      </c>
      <c r="H51" s="17" t="s">
        <v>108</v>
      </c>
      <c r="I51" s="18">
        <f>150000</f>
        <v>150000</v>
      </c>
      <c r="J51" s="49" t="s">
        <v>46</v>
      </c>
      <c r="K51" s="49"/>
      <c r="L51" s="49"/>
      <c r="M51" s="49"/>
      <c r="N51" s="48">
        <f>150000</f>
        <v>150000</v>
      </c>
      <c r="O51" s="48"/>
    </row>
    <row r="52" spans="1:15" s="1" customFormat="1" ht="13.5" customHeight="1">
      <c r="A52" s="46" t="s">
        <v>103</v>
      </c>
      <c r="B52" s="46"/>
      <c r="C52" s="46"/>
      <c r="D52" s="46"/>
      <c r="E52" s="46"/>
      <c r="F52" s="46"/>
      <c r="G52" s="17" t="s">
        <v>92</v>
      </c>
      <c r="H52" s="17" t="s">
        <v>109</v>
      </c>
      <c r="I52" s="18">
        <f>50000</f>
        <v>50000</v>
      </c>
      <c r="J52" s="47">
        <f>22050</f>
        <v>22050</v>
      </c>
      <c r="K52" s="47"/>
      <c r="L52" s="47"/>
      <c r="M52" s="47"/>
      <c r="N52" s="48">
        <f>27950</f>
        <v>27950</v>
      </c>
      <c r="O52" s="48"/>
    </row>
    <row r="53" spans="1:15" s="1" customFormat="1" ht="13.5" customHeight="1">
      <c r="A53" s="46" t="s">
        <v>93</v>
      </c>
      <c r="B53" s="46"/>
      <c r="C53" s="46"/>
      <c r="D53" s="46"/>
      <c r="E53" s="46"/>
      <c r="F53" s="46"/>
      <c r="G53" s="17" t="s">
        <v>92</v>
      </c>
      <c r="H53" s="17" t="s">
        <v>110</v>
      </c>
      <c r="I53" s="18">
        <f>4200000</f>
        <v>4200000</v>
      </c>
      <c r="J53" s="47">
        <f>2433359.4</f>
        <v>2433359.4</v>
      </c>
      <c r="K53" s="47"/>
      <c r="L53" s="47"/>
      <c r="M53" s="47"/>
      <c r="N53" s="48">
        <f>1766640.6</f>
        <v>1766640.6</v>
      </c>
      <c r="O53" s="48"/>
    </row>
    <row r="54" spans="1:15" s="1" customFormat="1" ht="13.5" customHeight="1">
      <c r="A54" s="46" t="s">
        <v>95</v>
      </c>
      <c r="B54" s="46"/>
      <c r="C54" s="46"/>
      <c r="D54" s="46"/>
      <c r="E54" s="46"/>
      <c r="F54" s="46"/>
      <c r="G54" s="17" t="s">
        <v>92</v>
      </c>
      <c r="H54" s="17" t="s">
        <v>111</v>
      </c>
      <c r="I54" s="18">
        <f>1281000</f>
        <v>1281000</v>
      </c>
      <c r="J54" s="47">
        <f>616773.32</f>
        <v>616773.32</v>
      </c>
      <c r="K54" s="47"/>
      <c r="L54" s="47"/>
      <c r="M54" s="47"/>
      <c r="N54" s="48">
        <f>664226.68</f>
        <v>664226.68</v>
      </c>
      <c r="O54" s="48"/>
    </row>
    <row r="55" spans="1:15" s="1" customFormat="1" ht="13.5" customHeight="1">
      <c r="A55" s="46" t="s">
        <v>99</v>
      </c>
      <c r="B55" s="46"/>
      <c r="C55" s="46"/>
      <c r="D55" s="46"/>
      <c r="E55" s="46"/>
      <c r="F55" s="46"/>
      <c r="G55" s="17" t="s">
        <v>92</v>
      </c>
      <c r="H55" s="17" t="s">
        <v>112</v>
      </c>
      <c r="I55" s="18">
        <f>62100</f>
        <v>62100</v>
      </c>
      <c r="J55" s="47">
        <f>14050</f>
        <v>14050</v>
      </c>
      <c r="K55" s="47"/>
      <c r="L55" s="47"/>
      <c r="M55" s="47"/>
      <c r="N55" s="48">
        <f>48050</f>
        <v>48050</v>
      </c>
      <c r="O55" s="48"/>
    </row>
    <row r="56" spans="1:15" s="1" customFormat="1" ht="13.5" customHeight="1">
      <c r="A56" s="46" t="s">
        <v>113</v>
      </c>
      <c r="B56" s="46"/>
      <c r="C56" s="46"/>
      <c r="D56" s="46"/>
      <c r="E56" s="46"/>
      <c r="F56" s="46"/>
      <c r="G56" s="17" t="s">
        <v>92</v>
      </c>
      <c r="H56" s="17" t="s">
        <v>114</v>
      </c>
      <c r="I56" s="18">
        <f>11000</f>
        <v>11000</v>
      </c>
      <c r="J56" s="47">
        <f>6811.3</f>
        <v>6811.3</v>
      </c>
      <c r="K56" s="47"/>
      <c r="L56" s="47"/>
      <c r="M56" s="47"/>
      <c r="N56" s="48">
        <f>4188.7</f>
        <v>4188.7</v>
      </c>
      <c r="O56" s="48"/>
    </row>
    <row r="57" spans="1:15" s="1" customFormat="1" ht="13.5" customHeight="1">
      <c r="A57" s="46" t="s">
        <v>113</v>
      </c>
      <c r="B57" s="46"/>
      <c r="C57" s="46"/>
      <c r="D57" s="46"/>
      <c r="E57" s="46"/>
      <c r="F57" s="46"/>
      <c r="G57" s="17" t="s">
        <v>92</v>
      </c>
      <c r="H57" s="17" t="s">
        <v>115</v>
      </c>
      <c r="I57" s="18">
        <f>1000</f>
        <v>1000</v>
      </c>
      <c r="J57" s="47">
        <f>700</f>
        <v>700</v>
      </c>
      <c r="K57" s="47"/>
      <c r="L57" s="47"/>
      <c r="M57" s="47"/>
      <c r="N57" s="48">
        <f>300</f>
        <v>300</v>
      </c>
      <c r="O57" s="48"/>
    </row>
    <row r="58" spans="1:15" s="1" customFormat="1" ht="13.5" customHeight="1">
      <c r="A58" s="46" t="s">
        <v>101</v>
      </c>
      <c r="B58" s="46"/>
      <c r="C58" s="46"/>
      <c r="D58" s="46"/>
      <c r="E58" s="46"/>
      <c r="F58" s="46"/>
      <c r="G58" s="17" t="s">
        <v>92</v>
      </c>
      <c r="H58" s="17" t="s">
        <v>116</v>
      </c>
      <c r="I58" s="18">
        <f>23000</f>
        <v>23000</v>
      </c>
      <c r="J58" s="47">
        <f>9710</f>
        <v>9710</v>
      </c>
      <c r="K58" s="47"/>
      <c r="L58" s="47"/>
      <c r="M58" s="47"/>
      <c r="N58" s="48">
        <f>13290</f>
        <v>13290</v>
      </c>
      <c r="O58" s="48"/>
    </row>
    <row r="59" spans="1:15" s="1" customFormat="1" ht="13.5" customHeight="1">
      <c r="A59" s="46" t="s">
        <v>117</v>
      </c>
      <c r="B59" s="46"/>
      <c r="C59" s="46"/>
      <c r="D59" s="46"/>
      <c r="E59" s="46"/>
      <c r="F59" s="46"/>
      <c r="G59" s="17" t="s">
        <v>92</v>
      </c>
      <c r="H59" s="17" t="s">
        <v>118</v>
      </c>
      <c r="I59" s="18">
        <f>14000</f>
        <v>14000</v>
      </c>
      <c r="J59" s="49" t="s">
        <v>46</v>
      </c>
      <c r="K59" s="49"/>
      <c r="L59" s="49"/>
      <c r="M59" s="49"/>
      <c r="N59" s="48">
        <f>14000</f>
        <v>14000</v>
      </c>
      <c r="O59" s="48"/>
    </row>
    <row r="60" spans="1:15" s="1" customFormat="1" ht="13.5" customHeight="1">
      <c r="A60" s="46" t="s">
        <v>103</v>
      </c>
      <c r="B60" s="46"/>
      <c r="C60" s="46"/>
      <c r="D60" s="46"/>
      <c r="E60" s="46"/>
      <c r="F60" s="46"/>
      <c r="G60" s="17" t="s">
        <v>92</v>
      </c>
      <c r="H60" s="17" t="s">
        <v>119</v>
      </c>
      <c r="I60" s="18">
        <f>61000</f>
        <v>61000</v>
      </c>
      <c r="J60" s="47">
        <f>33293.78</f>
        <v>33293.78</v>
      </c>
      <c r="K60" s="47"/>
      <c r="L60" s="47"/>
      <c r="M60" s="47"/>
      <c r="N60" s="48">
        <f>27706.22</f>
        <v>27706.22</v>
      </c>
      <c r="O60" s="48"/>
    </row>
    <row r="61" spans="1:15" s="1" customFormat="1" ht="13.5" customHeight="1">
      <c r="A61" s="46" t="s">
        <v>120</v>
      </c>
      <c r="B61" s="46"/>
      <c r="C61" s="46"/>
      <c r="D61" s="46"/>
      <c r="E61" s="46"/>
      <c r="F61" s="46"/>
      <c r="G61" s="17" t="s">
        <v>92</v>
      </c>
      <c r="H61" s="17" t="s">
        <v>121</v>
      </c>
      <c r="I61" s="18">
        <f>22700</f>
        <v>22700</v>
      </c>
      <c r="J61" s="47">
        <f>21450</f>
        <v>21450</v>
      </c>
      <c r="K61" s="47"/>
      <c r="L61" s="47"/>
      <c r="M61" s="47"/>
      <c r="N61" s="48">
        <f>1250</f>
        <v>1250</v>
      </c>
      <c r="O61" s="48"/>
    </row>
    <row r="62" spans="1:15" s="1" customFormat="1" ht="13.5" customHeight="1">
      <c r="A62" s="46" t="s">
        <v>122</v>
      </c>
      <c r="B62" s="46"/>
      <c r="C62" s="46"/>
      <c r="D62" s="46"/>
      <c r="E62" s="46"/>
      <c r="F62" s="46"/>
      <c r="G62" s="17" t="s">
        <v>92</v>
      </c>
      <c r="H62" s="17" t="s">
        <v>123</v>
      </c>
      <c r="I62" s="18">
        <f>270000</f>
        <v>270000</v>
      </c>
      <c r="J62" s="47">
        <f>265853.3</f>
        <v>265853.3</v>
      </c>
      <c r="K62" s="47"/>
      <c r="L62" s="47"/>
      <c r="M62" s="47"/>
      <c r="N62" s="48">
        <f>4146.7</f>
        <v>4146.7</v>
      </c>
      <c r="O62" s="48"/>
    </row>
    <row r="63" spans="1:15" s="1" customFormat="1" ht="13.5" customHeight="1">
      <c r="A63" s="46" t="s">
        <v>107</v>
      </c>
      <c r="B63" s="46"/>
      <c r="C63" s="46"/>
      <c r="D63" s="46"/>
      <c r="E63" s="46"/>
      <c r="F63" s="46"/>
      <c r="G63" s="17" t="s">
        <v>92</v>
      </c>
      <c r="H63" s="17" t="s">
        <v>124</v>
      </c>
      <c r="I63" s="18">
        <f>1732</f>
        <v>1732</v>
      </c>
      <c r="J63" s="47">
        <f>1705</f>
        <v>1705</v>
      </c>
      <c r="K63" s="47"/>
      <c r="L63" s="47"/>
      <c r="M63" s="47"/>
      <c r="N63" s="48">
        <f>27</f>
        <v>27</v>
      </c>
      <c r="O63" s="48"/>
    </row>
    <row r="64" spans="1:15" s="1" customFormat="1" ht="13.5" customHeight="1">
      <c r="A64" s="46" t="s">
        <v>107</v>
      </c>
      <c r="B64" s="46"/>
      <c r="C64" s="46"/>
      <c r="D64" s="46"/>
      <c r="E64" s="46"/>
      <c r="F64" s="46"/>
      <c r="G64" s="17" t="s">
        <v>92</v>
      </c>
      <c r="H64" s="17" t="s">
        <v>125</v>
      </c>
      <c r="I64" s="18">
        <f>13268</f>
        <v>13268</v>
      </c>
      <c r="J64" s="47">
        <f>9752.68</f>
        <v>9752.68</v>
      </c>
      <c r="K64" s="47"/>
      <c r="L64" s="47"/>
      <c r="M64" s="47"/>
      <c r="N64" s="48">
        <f>3515.32</f>
        <v>3515.32</v>
      </c>
      <c r="O64" s="48"/>
    </row>
    <row r="65" spans="1:15" s="1" customFormat="1" ht="13.5" customHeight="1">
      <c r="A65" s="46" t="s">
        <v>105</v>
      </c>
      <c r="B65" s="46"/>
      <c r="C65" s="46"/>
      <c r="D65" s="46"/>
      <c r="E65" s="46"/>
      <c r="F65" s="46"/>
      <c r="G65" s="17" t="s">
        <v>92</v>
      </c>
      <c r="H65" s="17" t="s">
        <v>126</v>
      </c>
      <c r="I65" s="18">
        <f>13385</f>
        <v>13385</v>
      </c>
      <c r="J65" s="47">
        <f>10038.75</f>
        <v>10038.75</v>
      </c>
      <c r="K65" s="47"/>
      <c r="L65" s="47"/>
      <c r="M65" s="47"/>
      <c r="N65" s="48">
        <f>3346.25</f>
        <v>3346.25</v>
      </c>
      <c r="O65" s="48"/>
    </row>
    <row r="66" spans="1:15" s="1" customFormat="1" ht="13.5" customHeight="1">
      <c r="A66" s="46" t="s">
        <v>99</v>
      </c>
      <c r="B66" s="46"/>
      <c r="C66" s="46"/>
      <c r="D66" s="46"/>
      <c r="E66" s="46"/>
      <c r="F66" s="46"/>
      <c r="G66" s="17" t="s">
        <v>92</v>
      </c>
      <c r="H66" s="17" t="s">
        <v>127</v>
      </c>
      <c r="I66" s="18">
        <f>250000</f>
        <v>250000</v>
      </c>
      <c r="J66" s="47">
        <f>46844.8</f>
        <v>46844.8</v>
      </c>
      <c r="K66" s="47"/>
      <c r="L66" s="47"/>
      <c r="M66" s="47"/>
      <c r="N66" s="48">
        <f>203155.2</f>
        <v>203155.2</v>
      </c>
      <c r="O66" s="48"/>
    </row>
    <row r="67" spans="1:15" s="1" customFormat="1" ht="13.5" customHeight="1">
      <c r="A67" s="46" t="s">
        <v>113</v>
      </c>
      <c r="B67" s="46"/>
      <c r="C67" s="46"/>
      <c r="D67" s="46"/>
      <c r="E67" s="46"/>
      <c r="F67" s="46"/>
      <c r="G67" s="17" t="s">
        <v>92</v>
      </c>
      <c r="H67" s="17" t="s">
        <v>128</v>
      </c>
      <c r="I67" s="18">
        <f>24000</f>
        <v>24000</v>
      </c>
      <c r="J67" s="47">
        <f>16508.33</f>
        <v>16508.33</v>
      </c>
      <c r="K67" s="47"/>
      <c r="L67" s="47"/>
      <c r="M67" s="47"/>
      <c r="N67" s="48">
        <f>7491.67</f>
        <v>7491.67</v>
      </c>
      <c r="O67" s="48"/>
    </row>
    <row r="68" spans="1:15" s="1" customFormat="1" ht="13.5" customHeight="1">
      <c r="A68" s="46" t="s">
        <v>129</v>
      </c>
      <c r="B68" s="46"/>
      <c r="C68" s="46"/>
      <c r="D68" s="46"/>
      <c r="E68" s="46"/>
      <c r="F68" s="46"/>
      <c r="G68" s="17" t="s">
        <v>92</v>
      </c>
      <c r="H68" s="17" t="s">
        <v>130</v>
      </c>
      <c r="I68" s="18">
        <f>1316808.42</f>
        <v>1316808.42</v>
      </c>
      <c r="J68" s="47">
        <f>854663.02</f>
        <v>854663.02</v>
      </c>
      <c r="K68" s="47"/>
      <c r="L68" s="47"/>
      <c r="M68" s="47"/>
      <c r="N68" s="48">
        <f>462145.4</f>
        <v>462145.4</v>
      </c>
      <c r="O68" s="48"/>
    </row>
    <row r="69" spans="1:15" s="1" customFormat="1" ht="13.5" customHeight="1">
      <c r="A69" s="46" t="s">
        <v>117</v>
      </c>
      <c r="B69" s="46"/>
      <c r="C69" s="46"/>
      <c r="D69" s="46"/>
      <c r="E69" s="46"/>
      <c r="F69" s="46"/>
      <c r="G69" s="17" t="s">
        <v>92</v>
      </c>
      <c r="H69" s="17" t="s">
        <v>131</v>
      </c>
      <c r="I69" s="18">
        <f>76015</f>
        <v>76015</v>
      </c>
      <c r="J69" s="47">
        <f>12870.1</f>
        <v>12870.1</v>
      </c>
      <c r="K69" s="47"/>
      <c r="L69" s="47"/>
      <c r="M69" s="47"/>
      <c r="N69" s="48">
        <f>63144.9</f>
        <v>63144.9</v>
      </c>
      <c r="O69" s="48"/>
    </row>
    <row r="70" spans="1:15" s="1" customFormat="1" ht="13.5" customHeight="1">
      <c r="A70" s="46" t="s">
        <v>103</v>
      </c>
      <c r="B70" s="46"/>
      <c r="C70" s="46"/>
      <c r="D70" s="46"/>
      <c r="E70" s="46"/>
      <c r="F70" s="46"/>
      <c r="G70" s="17" t="s">
        <v>92</v>
      </c>
      <c r="H70" s="17" t="s">
        <v>132</v>
      </c>
      <c r="I70" s="18">
        <f>68800</f>
        <v>68800</v>
      </c>
      <c r="J70" s="47">
        <f>24550</f>
        <v>24550</v>
      </c>
      <c r="K70" s="47"/>
      <c r="L70" s="47"/>
      <c r="M70" s="47"/>
      <c r="N70" s="48">
        <f>44250</f>
        <v>44250</v>
      </c>
      <c r="O70" s="48"/>
    </row>
    <row r="71" spans="1:15" s="1" customFormat="1" ht="13.5" customHeight="1">
      <c r="A71" s="46" t="s">
        <v>107</v>
      </c>
      <c r="B71" s="46"/>
      <c r="C71" s="46"/>
      <c r="D71" s="46"/>
      <c r="E71" s="46"/>
      <c r="F71" s="46"/>
      <c r="G71" s="17" t="s">
        <v>92</v>
      </c>
      <c r="H71" s="17" t="s">
        <v>133</v>
      </c>
      <c r="I71" s="18">
        <f>8066.93</f>
        <v>8066.93</v>
      </c>
      <c r="J71" s="49" t="s">
        <v>46</v>
      </c>
      <c r="K71" s="49"/>
      <c r="L71" s="49"/>
      <c r="M71" s="49"/>
      <c r="N71" s="48">
        <f>8066.93</f>
        <v>8066.93</v>
      </c>
      <c r="O71" s="48"/>
    </row>
    <row r="72" spans="1:15" s="1" customFormat="1" ht="13.5" customHeight="1">
      <c r="A72" s="46" t="s">
        <v>122</v>
      </c>
      <c r="B72" s="46"/>
      <c r="C72" s="46"/>
      <c r="D72" s="46"/>
      <c r="E72" s="46"/>
      <c r="F72" s="46"/>
      <c r="G72" s="17" t="s">
        <v>92</v>
      </c>
      <c r="H72" s="17" t="s">
        <v>134</v>
      </c>
      <c r="I72" s="18">
        <f>100000</f>
        <v>100000</v>
      </c>
      <c r="J72" s="47">
        <f>41092.6</f>
        <v>41092.6</v>
      </c>
      <c r="K72" s="47"/>
      <c r="L72" s="47"/>
      <c r="M72" s="47"/>
      <c r="N72" s="48">
        <f>58907.4</f>
        <v>58907.4</v>
      </c>
      <c r="O72" s="48"/>
    </row>
    <row r="73" spans="1:15" s="1" customFormat="1" ht="13.5" customHeight="1">
      <c r="A73" s="46" t="s">
        <v>107</v>
      </c>
      <c r="B73" s="46"/>
      <c r="C73" s="46"/>
      <c r="D73" s="46"/>
      <c r="E73" s="46"/>
      <c r="F73" s="46"/>
      <c r="G73" s="17" t="s">
        <v>92</v>
      </c>
      <c r="H73" s="17" t="s">
        <v>135</v>
      </c>
      <c r="I73" s="18">
        <f>5000</f>
        <v>5000</v>
      </c>
      <c r="J73" s="47">
        <f>2717</f>
        <v>2717</v>
      </c>
      <c r="K73" s="47"/>
      <c r="L73" s="47"/>
      <c r="M73" s="47"/>
      <c r="N73" s="48">
        <f>2283</f>
        <v>2283</v>
      </c>
      <c r="O73" s="48"/>
    </row>
    <row r="74" spans="1:15" s="1" customFormat="1" ht="13.5" customHeight="1">
      <c r="A74" s="46" t="s">
        <v>107</v>
      </c>
      <c r="B74" s="46"/>
      <c r="C74" s="46"/>
      <c r="D74" s="46"/>
      <c r="E74" s="46"/>
      <c r="F74" s="46"/>
      <c r="G74" s="17" t="s">
        <v>92</v>
      </c>
      <c r="H74" s="17" t="s">
        <v>136</v>
      </c>
      <c r="I74" s="18">
        <f>125000</f>
        <v>125000</v>
      </c>
      <c r="J74" s="47">
        <f>51908.63</f>
        <v>51908.63</v>
      </c>
      <c r="K74" s="47"/>
      <c r="L74" s="47"/>
      <c r="M74" s="47"/>
      <c r="N74" s="48">
        <f>73091.37</f>
        <v>73091.37</v>
      </c>
      <c r="O74" s="48"/>
    </row>
    <row r="75" spans="1:15" s="1" customFormat="1" ht="13.5" customHeight="1">
      <c r="A75" s="46" t="s">
        <v>93</v>
      </c>
      <c r="B75" s="46"/>
      <c r="C75" s="46"/>
      <c r="D75" s="46"/>
      <c r="E75" s="46"/>
      <c r="F75" s="46"/>
      <c r="G75" s="17" t="s">
        <v>92</v>
      </c>
      <c r="H75" s="17" t="s">
        <v>137</v>
      </c>
      <c r="I75" s="18">
        <f>435970</f>
        <v>435970</v>
      </c>
      <c r="J75" s="47">
        <f>159457.5</f>
        <v>159457.5</v>
      </c>
      <c r="K75" s="47"/>
      <c r="L75" s="47"/>
      <c r="M75" s="47"/>
      <c r="N75" s="48">
        <f>276512.5</f>
        <v>276512.5</v>
      </c>
      <c r="O75" s="48"/>
    </row>
    <row r="76" spans="1:15" s="1" customFormat="1" ht="13.5" customHeight="1">
      <c r="A76" s="46" t="s">
        <v>95</v>
      </c>
      <c r="B76" s="46"/>
      <c r="C76" s="46"/>
      <c r="D76" s="46"/>
      <c r="E76" s="46"/>
      <c r="F76" s="46"/>
      <c r="G76" s="17" t="s">
        <v>92</v>
      </c>
      <c r="H76" s="17" t="s">
        <v>138</v>
      </c>
      <c r="I76" s="18">
        <f>151000</f>
        <v>151000</v>
      </c>
      <c r="J76" s="47">
        <f>45414.7</f>
        <v>45414.7</v>
      </c>
      <c r="K76" s="47"/>
      <c r="L76" s="47"/>
      <c r="M76" s="47"/>
      <c r="N76" s="48">
        <f>105585.3</f>
        <v>105585.3</v>
      </c>
      <c r="O76" s="48"/>
    </row>
    <row r="77" spans="1:15" s="1" customFormat="1" ht="13.5" customHeight="1">
      <c r="A77" s="46" t="s">
        <v>99</v>
      </c>
      <c r="B77" s="46"/>
      <c r="C77" s="46"/>
      <c r="D77" s="46"/>
      <c r="E77" s="46"/>
      <c r="F77" s="46"/>
      <c r="G77" s="17" t="s">
        <v>92</v>
      </c>
      <c r="H77" s="17" t="s">
        <v>139</v>
      </c>
      <c r="I77" s="18">
        <f>10000</f>
        <v>10000</v>
      </c>
      <c r="J77" s="49" t="s">
        <v>46</v>
      </c>
      <c r="K77" s="49"/>
      <c r="L77" s="49"/>
      <c r="M77" s="49"/>
      <c r="N77" s="48">
        <f>10000</f>
        <v>10000</v>
      </c>
      <c r="O77" s="48"/>
    </row>
    <row r="78" spans="1:15" s="1" customFormat="1" ht="13.5" customHeight="1">
      <c r="A78" s="46" t="s">
        <v>113</v>
      </c>
      <c r="B78" s="46"/>
      <c r="C78" s="46"/>
      <c r="D78" s="46"/>
      <c r="E78" s="46"/>
      <c r="F78" s="46"/>
      <c r="G78" s="17" t="s">
        <v>92</v>
      </c>
      <c r="H78" s="17" t="s">
        <v>140</v>
      </c>
      <c r="I78" s="18">
        <f>17000</f>
        <v>17000</v>
      </c>
      <c r="J78" s="47">
        <f>5544.97</f>
        <v>5544.97</v>
      </c>
      <c r="K78" s="47"/>
      <c r="L78" s="47"/>
      <c r="M78" s="47"/>
      <c r="N78" s="48">
        <f>11455.03</f>
        <v>11455.03</v>
      </c>
      <c r="O78" s="48"/>
    </row>
    <row r="79" spans="1:15" s="1" customFormat="1" ht="13.5" customHeight="1">
      <c r="A79" s="46" t="s">
        <v>129</v>
      </c>
      <c r="B79" s="46"/>
      <c r="C79" s="46"/>
      <c r="D79" s="46"/>
      <c r="E79" s="46"/>
      <c r="F79" s="46"/>
      <c r="G79" s="17" t="s">
        <v>92</v>
      </c>
      <c r="H79" s="17" t="s">
        <v>141</v>
      </c>
      <c r="I79" s="18">
        <f>50000</f>
        <v>50000</v>
      </c>
      <c r="J79" s="49" t="s">
        <v>46</v>
      </c>
      <c r="K79" s="49"/>
      <c r="L79" s="49"/>
      <c r="M79" s="49"/>
      <c r="N79" s="48">
        <f>50000</f>
        <v>50000</v>
      </c>
      <c r="O79" s="48"/>
    </row>
    <row r="80" spans="1:15" s="1" customFormat="1" ht="13.5" customHeight="1">
      <c r="A80" s="46" t="s">
        <v>117</v>
      </c>
      <c r="B80" s="46"/>
      <c r="C80" s="46"/>
      <c r="D80" s="46"/>
      <c r="E80" s="46"/>
      <c r="F80" s="46"/>
      <c r="G80" s="17" t="s">
        <v>92</v>
      </c>
      <c r="H80" s="17" t="s">
        <v>142</v>
      </c>
      <c r="I80" s="18">
        <f>5000</f>
        <v>5000</v>
      </c>
      <c r="J80" s="49" t="s">
        <v>46</v>
      </c>
      <c r="K80" s="49"/>
      <c r="L80" s="49"/>
      <c r="M80" s="49"/>
      <c r="N80" s="48">
        <f>5000</f>
        <v>5000</v>
      </c>
      <c r="O80" s="48"/>
    </row>
    <row r="81" spans="1:15" s="1" customFormat="1" ht="13.5" customHeight="1">
      <c r="A81" s="46" t="s">
        <v>103</v>
      </c>
      <c r="B81" s="46"/>
      <c r="C81" s="46"/>
      <c r="D81" s="46"/>
      <c r="E81" s="46"/>
      <c r="F81" s="46"/>
      <c r="G81" s="17" t="s">
        <v>92</v>
      </c>
      <c r="H81" s="17" t="s">
        <v>143</v>
      </c>
      <c r="I81" s="18">
        <f>7000</f>
        <v>7000</v>
      </c>
      <c r="J81" s="49" t="s">
        <v>46</v>
      </c>
      <c r="K81" s="49"/>
      <c r="L81" s="49"/>
      <c r="M81" s="49"/>
      <c r="N81" s="48">
        <f>7000</f>
        <v>7000</v>
      </c>
      <c r="O81" s="48"/>
    </row>
    <row r="82" spans="1:15" s="1" customFormat="1" ht="13.5" customHeight="1">
      <c r="A82" s="46" t="s">
        <v>120</v>
      </c>
      <c r="B82" s="46"/>
      <c r="C82" s="46"/>
      <c r="D82" s="46"/>
      <c r="E82" s="46"/>
      <c r="F82" s="46"/>
      <c r="G82" s="17" t="s">
        <v>92</v>
      </c>
      <c r="H82" s="17" t="s">
        <v>144</v>
      </c>
      <c r="I82" s="18">
        <f>25000</f>
        <v>25000</v>
      </c>
      <c r="J82" s="47">
        <f>2981</f>
        <v>2981</v>
      </c>
      <c r="K82" s="47"/>
      <c r="L82" s="47"/>
      <c r="M82" s="47"/>
      <c r="N82" s="48">
        <f>22019</f>
        <v>22019</v>
      </c>
      <c r="O82" s="48"/>
    </row>
    <row r="83" spans="1:15" s="1" customFormat="1" ht="13.5" customHeight="1">
      <c r="A83" s="46" t="s">
        <v>122</v>
      </c>
      <c r="B83" s="46"/>
      <c r="C83" s="46"/>
      <c r="D83" s="46"/>
      <c r="E83" s="46"/>
      <c r="F83" s="46"/>
      <c r="G83" s="17" t="s">
        <v>92</v>
      </c>
      <c r="H83" s="17" t="s">
        <v>145</v>
      </c>
      <c r="I83" s="18">
        <f>23000</f>
        <v>23000</v>
      </c>
      <c r="J83" s="47">
        <f>7877.1</f>
        <v>7877.1</v>
      </c>
      <c r="K83" s="47"/>
      <c r="L83" s="47"/>
      <c r="M83" s="47"/>
      <c r="N83" s="48">
        <f>15122.9</f>
        <v>15122.9</v>
      </c>
      <c r="O83" s="48"/>
    </row>
    <row r="84" spans="1:15" s="1" customFormat="1" ht="13.5" customHeight="1">
      <c r="A84" s="46" t="s">
        <v>93</v>
      </c>
      <c r="B84" s="46"/>
      <c r="C84" s="46"/>
      <c r="D84" s="46"/>
      <c r="E84" s="46"/>
      <c r="F84" s="46"/>
      <c r="G84" s="17" t="s">
        <v>92</v>
      </c>
      <c r="H84" s="17" t="s">
        <v>146</v>
      </c>
      <c r="I84" s="18">
        <f>31500</f>
        <v>31500</v>
      </c>
      <c r="J84" s="47">
        <f>7729.85</f>
        <v>7729.85</v>
      </c>
      <c r="K84" s="47"/>
      <c r="L84" s="47"/>
      <c r="M84" s="47"/>
      <c r="N84" s="48">
        <f>23770.15</f>
        <v>23770.15</v>
      </c>
      <c r="O84" s="48"/>
    </row>
    <row r="85" spans="1:15" s="1" customFormat="1" ht="13.5" customHeight="1">
      <c r="A85" s="46" t="s">
        <v>95</v>
      </c>
      <c r="B85" s="46"/>
      <c r="C85" s="46"/>
      <c r="D85" s="46"/>
      <c r="E85" s="46"/>
      <c r="F85" s="46"/>
      <c r="G85" s="17" t="s">
        <v>92</v>
      </c>
      <c r="H85" s="17" t="s">
        <v>147</v>
      </c>
      <c r="I85" s="18">
        <f>9500</f>
        <v>9500</v>
      </c>
      <c r="J85" s="47">
        <f>2418.58</f>
        <v>2418.58</v>
      </c>
      <c r="K85" s="47"/>
      <c r="L85" s="47"/>
      <c r="M85" s="47"/>
      <c r="N85" s="48">
        <f>7081.42</f>
        <v>7081.42</v>
      </c>
      <c r="O85" s="48"/>
    </row>
    <row r="86" spans="1:15" s="1" customFormat="1" ht="13.5" customHeight="1">
      <c r="A86" s="46" t="s">
        <v>117</v>
      </c>
      <c r="B86" s="46"/>
      <c r="C86" s="46"/>
      <c r="D86" s="46"/>
      <c r="E86" s="46"/>
      <c r="F86" s="46"/>
      <c r="G86" s="17" t="s">
        <v>92</v>
      </c>
      <c r="H86" s="17" t="s">
        <v>148</v>
      </c>
      <c r="I86" s="18">
        <f>39000</f>
        <v>39000</v>
      </c>
      <c r="J86" s="49" t="s">
        <v>46</v>
      </c>
      <c r="K86" s="49"/>
      <c r="L86" s="49"/>
      <c r="M86" s="49"/>
      <c r="N86" s="48">
        <f>39000</f>
        <v>39000</v>
      </c>
      <c r="O86" s="48"/>
    </row>
    <row r="87" spans="1:15" s="1" customFormat="1" ht="13.5" customHeight="1">
      <c r="A87" s="46" t="s">
        <v>120</v>
      </c>
      <c r="B87" s="46"/>
      <c r="C87" s="46"/>
      <c r="D87" s="46"/>
      <c r="E87" s="46"/>
      <c r="F87" s="46"/>
      <c r="G87" s="17" t="s">
        <v>92</v>
      </c>
      <c r="H87" s="17" t="s">
        <v>149</v>
      </c>
      <c r="I87" s="18">
        <f>40000</f>
        <v>40000</v>
      </c>
      <c r="J87" s="47">
        <f>38291</f>
        <v>38291</v>
      </c>
      <c r="K87" s="47"/>
      <c r="L87" s="47"/>
      <c r="M87" s="47"/>
      <c r="N87" s="48">
        <f>1709</f>
        <v>1709</v>
      </c>
      <c r="O87" s="48"/>
    </row>
    <row r="88" spans="1:15" s="1" customFormat="1" ht="13.5" customHeight="1">
      <c r="A88" s="46" t="s">
        <v>117</v>
      </c>
      <c r="B88" s="46"/>
      <c r="C88" s="46"/>
      <c r="D88" s="46"/>
      <c r="E88" s="46"/>
      <c r="F88" s="46"/>
      <c r="G88" s="17" t="s">
        <v>92</v>
      </c>
      <c r="H88" s="17" t="s">
        <v>150</v>
      </c>
      <c r="I88" s="18">
        <f>1612626</f>
        <v>1612626</v>
      </c>
      <c r="J88" s="47">
        <f>855827.36</f>
        <v>855827.36</v>
      </c>
      <c r="K88" s="47"/>
      <c r="L88" s="47"/>
      <c r="M88" s="47"/>
      <c r="N88" s="48">
        <f>756798.64</f>
        <v>756798.64</v>
      </c>
      <c r="O88" s="48"/>
    </row>
    <row r="89" spans="1:15" s="1" customFormat="1" ht="13.5" customHeight="1">
      <c r="A89" s="46" t="s">
        <v>103</v>
      </c>
      <c r="B89" s="46"/>
      <c r="C89" s="46"/>
      <c r="D89" s="46"/>
      <c r="E89" s="46"/>
      <c r="F89" s="46"/>
      <c r="G89" s="17" t="s">
        <v>92</v>
      </c>
      <c r="H89" s="17" t="s">
        <v>151</v>
      </c>
      <c r="I89" s="18">
        <f>260000</f>
        <v>260000</v>
      </c>
      <c r="J89" s="47">
        <f>260000</f>
        <v>260000</v>
      </c>
      <c r="K89" s="47"/>
      <c r="L89" s="47"/>
      <c r="M89" s="47"/>
      <c r="N89" s="48">
        <f>0</f>
        <v>0</v>
      </c>
      <c r="O89" s="48"/>
    </row>
    <row r="90" spans="1:15" s="1" customFormat="1" ht="13.5" customHeight="1">
      <c r="A90" s="46" t="s">
        <v>117</v>
      </c>
      <c r="B90" s="46"/>
      <c r="C90" s="46"/>
      <c r="D90" s="46"/>
      <c r="E90" s="46"/>
      <c r="F90" s="46"/>
      <c r="G90" s="17" t="s">
        <v>92</v>
      </c>
      <c r="H90" s="17" t="s">
        <v>152</v>
      </c>
      <c r="I90" s="18">
        <f>150000</f>
        <v>150000</v>
      </c>
      <c r="J90" s="47">
        <f>71531</f>
        <v>71531</v>
      </c>
      <c r="K90" s="47"/>
      <c r="L90" s="47"/>
      <c r="M90" s="47"/>
      <c r="N90" s="48">
        <f>78469</f>
        <v>78469</v>
      </c>
      <c r="O90" s="48"/>
    </row>
    <row r="91" spans="1:15" s="1" customFormat="1" ht="13.5" customHeight="1">
      <c r="A91" s="46" t="s">
        <v>103</v>
      </c>
      <c r="B91" s="46"/>
      <c r="C91" s="46"/>
      <c r="D91" s="46"/>
      <c r="E91" s="46"/>
      <c r="F91" s="46"/>
      <c r="G91" s="17" t="s">
        <v>92</v>
      </c>
      <c r="H91" s="17" t="s">
        <v>153</v>
      </c>
      <c r="I91" s="18">
        <f>150872</f>
        <v>150872</v>
      </c>
      <c r="J91" s="47">
        <f>63140</f>
        <v>63140</v>
      </c>
      <c r="K91" s="47"/>
      <c r="L91" s="47"/>
      <c r="M91" s="47"/>
      <c r="N91" s="48">
        <f>87732</f>
        <v>87732</v>
      </c>
      <c r="O91" s="48"/>
    </row>
    <row r="92" spans="1:15" s="1" customFormat="1" ht="13.5" customHeight="1">
      <c r="A92" s="46" t="s">
        <v>103</v>
      </c>
      <c r="B92" s="46"/>
      <c r="C92" s="46"/>
      <c r="D92" s="46"/>
      <c r="E92" s="46"/>
      <c r="F92" s="46"/>
      <c r="G92" s="17" t="s">
        <v>92</v>
      </c>
      <c r="H92" s="17" t="s">
        <v>154</v>
      </c>
      <c r="I92" s="18">
        <f>1747317.86</f>
        <v>1747317.86</v>
      </c>
      <c r="J92" s="47">
        <f>775096.61</f>
        <v>775096.61</v>
      </c>
      <c r="K92" s="47"/>
      <c r="L92" s="47"/>
      <c r="M92" s="47"/>
      <c r="N92" s="48">
        <f>972221.25</f>
        <v>972221.25</v>
      </c>
      <c r="O92" s="48"/>
    </row>
    <row r="93" spans="1:15" s="1" customFormat="1" ht="24" customHeight="1">
      <c r="A93" s="46" t="s">
        <v>155</v>
      </c>
      <c r="B93" s="46"/>
      <c r="C93" s="46"/>
      <c r="D93" s="46"/>
      <c r="E93" s="46"/>
      <c r="F93" s="46"/>
      <c r="G93" s="17" t="s">
        <v>92</v>
      </c>
      <c r="H93" s="17" t="s">
        <v>156</v>
      </c>
      <c r="I93" s="18">
        <f>1319201</f>
        <v>1319201</v>
      </c>
      <c r="J93" s="49" t="s">
        <v>46</v>
      </c>
      <c r="K93" s="49"/>
      <c r="L93" s="49"/>
      <c r="M93" s="49"/>
      <c r="N93" s="48">
        <f>1319201</f>
        <v>1319201</v>
      </c>
      <c r="O93" s="48"/>
    </row>
    <row r="94" spans="1:15" s="1" customFormat="1" ht="24" customHeight="1">
      <c r="A94" s="46" t="s">
        <v>155</v>
      </c>
      <c r="B94" s="46"/>
      <c r="C94" s="46"/>
      <c r="D94" s="46"/>
      <c r="E94" s="46"/>
      <c r="F94" s="46"/>
      <c r="G94" s="17" t="s">
        <v>92</v>
      </c>
      <c r="H94" s="17" t="s">
        <v>157</v>
      </c>
      <c r="I94" s="18">
        <f>1000000</f>
        <v>1000000</v>
      </c>
      <c r="J94" s="47">
        <f>387023.7</f>
        <v>387023.7</v>
      </c>
      <c r="K94" s="47"/>
      <c r="L94" s="47"/>
      <c r="M94" s="47"/>
      <c r="N94" s="48">
        <f>612976.3</f>
        <v>612976.3</v>
      </c>
      <c r="O94" s="48"/>
    </row>
    <row r="95" spans="1:15" s="1" customFormat="1" ht="13.5" customHeight="1">
      <c r="A95" s="46" t="s">
        <v>117</v>
      </c>
      <c r="B95" s="46"/>
      <c r="C95" s="46"/>
      <c r="D95" s="46"/>
      <c r="E95" s="46"/>
      <c r="F95" s="46"/>
      <c r="G95" s="17" t="s">
        <v>92</v>
      </c>
      <c r="H95" s="17" t="s">
        <v>158</v>
      </c>
      <c r="I95" s="18">
        <f>3341810</f>
        <v>3341810</v>
      </c>
      <c r="J95" s="47">
        <f>2300944.47</f>
        <v>2300944.47</v>
      </c>
      <c r="K95" s="47"/>
      <c r="L95" s="47"/>
      <c r="M95" s="47"/>
      <c r="N95" s="48">
        <f>1040865.53</f>
        <v>1040865.53</v>
      </c>
      <c r="O95" s="48"/>
    </row>
    <row r="96" spans="1:15" s="1" customFormat="1" ht="13.5" customHeight="1">
      <c r="A96" s="46" t="s">
        <v>117</v>
      </c>
      <c r="B96" s="46"/>
      <c r="C96" s="46"/>
      <c r="D96" s="46"/>
      <c r="E96" s="46"/>
      <c r="F96" s="46"/>
      <c r="G96" s="17" t="s">
        <v>92</v>
      </c>
      <c r="H96" s="17" t="s">
        <v>159</v>
      </c>
      <c r="I96" s="18">
        <f>50000</f>
        <v>50000</v>
      </c>
      <c r="J96" s="49" t="s">
        <v>46</v>
      </c>
      <c r="K96" s="49"/>
      <c r="L96" s="49"/>
      <c r="M96" s="49"/>
      <c r="N96" s="48">
        <f>50000</f>
        <v>50000</v>
      </c>
      <c r="O96" s="48"/>
    </row>
    <row r="97" spans="1:15" s="1" customFormat="1" ht="13.5" customHeight="1">
      <c r="A97" s="46" t="s">
        <v>122</v>
      </c>
      <c r="B97" s="46"/>
      <c r="C97" s="46"/>
      <c r="D97" s="46"/>
      <c r="E97" s="46"/>
      <c r="F97" s="46"/>
      <c r="G97" s="17" t="s">
        <v>92</v>
      </c>
      <c r="H97" s="17" t="s">
        <v>160</v>
      </c>
      <c r="I97" s="18">
        <f>160000</f>
        <v>160000</v>
      </c>
      <c r="J97" s="47">
        <f>129755</f>
        <v>129755</v>
      </c>
      <c r="K97" s="47"/>
      <c r="L97" s="47"/>
      <c r="M97" s="47"/>
      <c r="N97" s="48">
        <f>30245</f>
        <v>30245</v>
      </c>
      <c r="O97" s="48"/>
    </row>
    <row r="98" spans="1:15" s="1" customFormat="1" ht="13.5" customHeight="1">
      <c r="A98" s="46" t="s">
        <v>113</v>
      </c>
      <c r="B98" s="46"/>
      <c r="C98" s="46"/>
      <c r="D98" s="46"/>
      <c r="E98" s="46"/>
      <c r="F98" s="46"/>
      <c r="G98" s="17" t="s">
        <v>92</v>
      </c>
      <c r="H98" s="17" t="s">
        <v>161</v>
      </c>
      <c r="I98" s="18">
        <f>183252.56</f>
        <v>183252.56</v>
      </c>
      <c r="J98" s="47">
        <f>80094.66</f>
        <v>80094.66</v>
      </c>
      <c r="K98" s="47"/>
      <c r="L98" s="47"/>
      <c r="M98" s="47"/>
      <c r="N98" s="48">
        <f>103157.9</f>
        <v>103157.9</v>
      </c>
      <c r="O98" s="48"/>
    </row>
    <row r="99" spans="1:15" s="1" customFormat="1" ht="13.5" customHeight="1">
      <c r="A99" s="46" t="s">
        <v>103</v>
      </c>
      <c r="B99" s="46"/>
      <c r="C99" s="46"/>
      <c r="D99" s="46"/>
      <c r="E99" s="46"/>
      <c r="F99" s="46"/>
      <c r="G99" s="17" t="s">
        <v>92</v>
      </c>
      <c r="H99" s="17" t="s">
        <v>162</v>
      </c>
      <c r="I99" s="18">
        <f>200000</f>
        <v>200000</v>
      </c>
      <c r="J99" s="47">
        <f>74151.76</f>
        <v>74151.76</v>
      </c>
      <c r="K99" s="47"/>
      <c r="L99" s="47"/>
      <c r="M99" s="47"/>
      <c r="N99" s="48">
        <f>125848.24</f>
        <v>125848.24</v>
      </c>
      <c r="O99" s="48"/>
    </row>
    <row r="100" spans="1:15" s="1" customFormat="1" ht="13.5" customHeight="1">
      <c r="A100" s="46" t="s">
        <v>120</v>
      </c>
      <c r="B100" s="46"/>
      <c r="C100" s="46"/>
      <c r="D100" s="46"/>
      <c r="E100" s="46"/>
      <c r="F100" s="46"/>
      <c r="G100" s="17" t="s">
        <v>92</v>
      </c>
      <c r="H100" s="17" t="s">
        <v>163</v>
      </c>
      <c r="I100" s="18">
        <f>90000</f>
        <v>90000</v>
      </c>
      <c r="J100" s="47">
        <f>48792</f>
        <v>48792</v>
      </c>
      <c r="K100" s="47"/>
      <c r="L100" s="47"/>
      <c r="M100" s="47"/>
      <c r="N100" s="48">
        <f>41208</f>
        <v>41208</v>
      </c>
      <c r="O100" s="48"/>
    </row>
    <row r="101" spans="1:15" s="1" customFormat="1" ht="13.5" customHeight="1">
      <c r="A101" s="46" t="s">
        <v>117</v>
      </c>
      <c r="B101" s="46"/>
      <c r="C101" s="46"/>
      <c r="D101" s="46"/>
      <c r="E101" s="46"/>
      <c r="F101" s="46"/>
      <c r="G101" s="17" t="s">
        <v>92</v>
      </c>
      <c r="H101" s="17" t="s">
        <v>164</v>
      </c>
      <c r="I101" s="18">
        <f>130200</f>
        <v>130200</v>
      </c>
      <c r="J101" s="49" t="s">
        <v>46</v>
      </c>
      <c r="K101" s="49"/>
      <c r="L101" s="49"/>
      <c r="M101" s="49"/>
      <c r="N101" s="48">
        <f>130200</f>
        <v>130200</v>
      </c>
      <c r="O101" s="48"/>
    </row>
    <row r="102" spans="1:15" s="1" customFormat="1" ht="13.5" customHeight="1">
      <c r="A102" s="46" t="s">
        <v>103</v>
      </c>
      <c r="B102" s="46"/>
      <c r="C102" s="46"/>
      <c r="D102" s="46"/>
      <c r="E102" s="46"/>
      <c r="F102" s="46"/>
      <c r="G102" s="17" t="s">
        <v>92</v>
      </c>
      <c r="H102" s="17" t="s">
        <v>165</v>
      </c>
      <c r="I102" s="18">
        <f>74800</f>
        <v>74800</v>
      </c>
      <c r="J102" s="47">
        <f>34000</f>
        <v>34000</v>
      </c>
      <c r="K102" s="47"/>
      <c r="L102" s="47"/>
      <c r="M102" s="47"/>
      <c r="N102" s="48">
        <f>40800</f>
        <v>40800</v>
      </c>
      <c r="O102" s="48"/>
    </row>
    <row r="103" spans="1:15" s="1" customFormat="1" ht="13.5" customHeight="1">
      <c r="A103" s="46" t="s">
        <v>103</v>
      </c>
      <c r="B103" s="46"/>
      <c r="C103" s="46"/>
      <c r="D103" s="46"/>
      <c r="E103" s="46"/>
      <c r="F103" s="46"/>
      <c r="G103" s="17" t="s">
        <v>92</v>
      </c>
      <c r="H103" s="17" t="s">
        <v>166</v>
      </c>
      <c r="I103" s="18">
        <f>90000</f>
        <v>90000</v>
      </c>
      <c r="J103" s="47">
        <f>5000</f>
        <v>5000</v>
      </c>
      <c r="K103" s="47"/>
      <c r="L103" s="47"/>
      <c r="M103" s="47"/>
      <c r="N103" s="48">
        <f>85000</f>
        <v>85000</v>
      </c>
      <c r="O103" s="48"/>
    </row>
    <row r="104" spans="1:15" s="1" customFormat="1" ht="13.5" customHeight="1">
      <c r="A104" s="46" t="s">
        <v>107</v>
      </c>
      <c r="B104" s="46"/>
      <c r="C104" s="46"/>
      <c r="D104" s="46"/>
      <c r="E104" s="46"/>
      <c r="F104" s="46"/>
      <c r="G104" s="17" t="s">
        <v>92</v>
      </c>
      <c r="H104" s="17" t="s">
        <v>167</v>
      </c>
      <c r="I104" s="18">
        <f>395900</f>
        <v>395900</v>
      </c>
      <c r="J104" s="47">
        <f>135069.36</f>
        <v>135069.36</v>
      </c>
      <c r="K104" s="47"/>
      <c r="L104" s="47"/>
      <c r="M104" s="47"/>
      <c r="N104" s="48">
        <f>260830.64</f>
        <v>260830.64</v>
      </c>
      <c r="O104" s="48"/>
    </row>
    <row r="105" spans="1:15" s="1" customFormat="1" ht="24" customHeight="1">
      <c r="A105" s="46" t="s">
        <v>155</v>
      </c>
      <c r="B105" s="46"/>
      <c r="C105" s="46"/>
      <c r="D105" s="46"/>
      <c r="E105" s="46"/>
      <c r="F105" s="46"/>
      <c r="G105" s="17" t="s">
        <v>92</v>
      </c>
      <c r="H105" s="17" t="s">
        <v>168</v>
      </c>
      <c r="I105" s="18">
        <f>630000</f>
        <v>630000</v>
      </c>
      <c r="J105" s="47">
        <f>330666</f>
        <v>330666</v>
      </c>
      <c r="K105" s="47"/>
      <c r="L105" s="47"/>
      <c r="M105" s="47"/>
      <c r="N105" s="48">
        <f>299334</f>
        <v>299334</v>
      </c>
      <c r="O105" s="48"/>
    </row>
    <row r="106" spans="1:15" s="1" customFormat="1" ht="13.5" customHeight="1">
      <c r="A106" s="46" t="s">
        <v>105</v>
      </c>
      <c r="B106" s="46"/>
      <c r="C106" s="46"/>
      <c r="D106" s="46"/>
      <c r="E106" s="46"/>
      <c r="F106" s="46"/>
      <c r="G106" s="17" t="s">
        <v>92</v>
      </c>
      <c r="H106" s="17" t="s">
        <v>169</v>
      </c>
      <c r="I106" s="18">
        <f>3786450.15</f>
        <v>3786450.15</v>
      </c>
      <c r="J106" s="49" t="s">
        <v>46</v>
      </c>
      <c r="K106" s="49"/>
      <c r="L106" s="49"/>
      <c r="M106" s="49"/>
      <c r="N106" s="48">
        <f>3786450.15</f>
        <v>3786450.15</v>
      </c>
      <c r="O106" s="48"/>
    </row>
    <row r="107" spans="1:15" s="1" customFormat="1" ht="13.5" customHeight="1">
      <c r="A107" s="46" t="s">
        <v>105</v>
      </c>
      <c r="B107" s="46"/>
      <c r="C107" s="46"/>
      <c r="D107" s="46"/>
      <c r="E107" s="46"/>
      <c r="F107" s="46"/>
      <c r="G107" s="17" t="s">
        <v>92</v>
      </c>
      <c r="H107" s="17" t="s">
        <v>170</v>
      </c>
      <c r="I107" s="18">
        <f>76500</f>
        <v>76500</v>
      </c>
      <c r="J107" s="49" t="s">
        <v>46</v>
      </c>
      <c r="K107" s="49"/>
      <c r="L107" s="49"/>
      <c r="M107" s="49"/>
      <c r="N107" s="48">
        <f>76500</f>
        <v>76500</v>
      </c>
      <c r="O107" s="48"/>
    </row>
    <row r="108" spans="1:15" s="1" customFormat="1" ht="13.5" customHeight="1">
      <c r="A108" s="46" t="s">
        <v>105</v>
      </c>
      <c r="B108" s="46"/>
      <c r="C108" s="46"/>
      <c r="D108" s="46"/>
      <c r="E108" s="46"/>
      <c r="F108" s="46"/>
      <c r="G108" s="17" t="s">
        <v>92</v>
      </c>
      <c r="H108" s="17" t="s">
        <v>171</v>
      </c>
      <c r="I108" s="18">
        <f>199286.85</f>
        <v>199286.85</v>
      </c>
      <c r="J108" s="49" t="s">
        <v>46</v>
      </c>
      <c r="K108" s="49"/>
      <c r="L108" s="49"/>
      <c r="M108" s="49"/>
      <c r="N108" s="48">
        <f>199286.85</f>
        <v>199286.85</v>
      </c>
      <c r="O108" s="48"/>
    </row>
    <row r="109" spans="1:15" s="1" customFormat="1" ht="13.5" customHeight="1">
      <c r="A109" s="46" t="s">
        <v>105</v>
      </c>
      <c r="B109" s="46"/>
      <c r="C109" s="46"/>
      <c r="D109" s="46"/>
      <c r="E109" s="46"/>
      <c r="F109" s="46"/>
      <c r="G109" s="17" t="s">
        <v>92</v>
      </c>
      <c r="H109" s="17" t="s">
        <v>172</v>
      </c>
      <c r="I109" s="18">
        <f>71249.34</f>
        <v>71249.34</v>
      </c>
      <c r="J109" s="49" t="s">
        <v>46</v>
      </c>
      <c r="K109" s="49"/>
      <c r="L109" s="49"/>
      <c r="M109" s="49"/>
      <c r="N109" s="48">
        <f>71249.34</f>
        <v>71249.34</v>
      </c>
      <c r="O109" s="48"/>
    </row>
    <row r="110" spans="1:15" s="1" customFormat="1" ht="24" customHeight="1">
      <c r="A110" s="46" t="s">
        <v>155</v>
      </c>
      <c r="B110" s="46"/>
      <c r="C110" s="46"/>
      <c r="D110" s="46"/>
      <c r="E110" s="46"/>
      <c r="F110" s="46"/>
      <c r="G110" s="17" t="s">
        <v>92</v>
      </c>
      <c r="H110" s="17" t="s">
        <v>173</v>
      </c>
      <c r="I110" s="18">
        <f>1997000</f>
        <v>1997000</v>
      </c>
      <c r="J110" s="47">
        <f>1997000</f>
        <v>1997000</v>
      </c>
      <c r="K110" s="47"/>
      <c r="L110" s="47"/>
      <c r="M110" s="47"/>
      <c r="N110" s="48">
        <f>0</f>
        <v>0</v>
      </c>
      <c r="O110" s="48"/>
    </row>
    <row r="111" spans="1:15" s="1" customFormat="1" ht="13.5" customHeight="1">
      <c r="A111" s="46" t="s">
        <v>129</v>
      </c>
      <c r="B111" s="46"/>
      <c r="C111" s="46"/>
      <c r="D111" s="46"/>
      <c r="E111" s="46"/>
      <c r="F111" s="46"/>
      <c r="G111" s="17" t="s">
        <v>92</v>
      </c>
      <c r="H111" s="17" t="s">
        <v>174</v>
      </c>
      <c r="I111" s="18">
        <f>650000</f>
        <v>650000</v>
      </c>
      <c r="J111" s="47">
        <f>456371.13</f>
        <v>456371.13</v>
      </c>
      <c r="K111" s="47"/>
      <c r="L111" s="47"/>
      <c r="M111" s="47"/>
      <c r="N111" s="48">
        <f>193628.87</f>
        <v>193628.87</v>
      </c>
      <c r="O111" s="48"/>
    </row>
    <row r="112" spans="1:15" s="1" customFormat="1" ht="13.5" customHeight="1">
      <c r="A112" s="46" t="s">
        <v>117</v>
      </c>
      <c r="B112" s="46"/>
      <c r="C112" s="46"/>
      <c r="D112" s="46"/>
      <c r="E112" s="46"/>
      <c r="F112" s="46"/>
      <c r="G112" s="17" t="s">
        <v>92</v>
      </c>
      <c r="H112" s="17" t="s">
        <v>175</v>
      </c>
      <c r="I112" s="18">
        <f>96738.07</f>
        <v>96738.07</v>
      </c>
      <c r="J112" s="47">
        <f>74779.57</f>
        <v>74779.57</v>
      </c>
      <c r="K112" s="47"/>
      <c r="L112" s="47"/>
      <c r="M112" s="47"/>
      <c r="N112" s="48">
        <f>21958.5</f>
        <v>21958.5</v>
      </c>
      <c r="O112" s="48"/>
    </row>
    <row r="113" spans="1:15" s="1" customFormat="1" ht="13.5" customHeight="1">
      <c r="A113" s="46" t="s">
        <v>122</v>
      </c>
      <c r="B113" s="46"/>
      <c r="C113" s="46"/>
      <c r="D113" s="46"/>
      <c r="E113" s="46"/>
      <c r="F113" s="46"/>
      <c r="G113" s="17" t="s">
        <v>92</v>
      </c>
      <c r="H113" s="17" t="s">
        <v>176</v>
      </c>
      <c r="I113" s="18">
        <f>50000</f>
        <v>50000</v>
      </c>
      <c r="J113" s="47">
        <f>38377</f>
        <v>38377</v>
      </c>
      <c r="K113" s="47"/>
      <c r="L113" s="47"/>
      <c r="M113" s="47"/>
      <c r="N113" s="48">
        <f>11623</f>
        <v>11623</v>
      </c>
      <c r="O113" s="48"/>
    </row>
    <row r="114" spans="1:15" s="1" customFormat="1" ht="13.5" customHeight="1">
      <c r="A114" s="46" t="s">
        <v>117</v>
      </c>
      <c r="B114" s="46"/>
      <c r="C114" s="46"/>
      <c r="D114" s="46"/>
      <c r="E114" s="46"/>
      <c r="F114" s="46"/>
      <c r="G114" s="17" t="s">
        <v>92</v>
      </c>
      <c r="H114" s="17" t="s">
        <v>177</v>
      </c>
      <c r="I114" s="18">
        <f>289000</f>
        <v>289000</v>
      </c>
      <c r="J114" s="47">
        <f>289000</f>
        <v>289000</v>
      </c>
      <c r="K114" s="47"/>
      <c r="L114" s="47"/>
      <c r="M114" s="47"/>
      <c r="N114" s="48">
        <f>0</f>
        <v>0</v>
      </c>
      <c r="O114" s="48"/>
    </row>
    <row r="115" spans="1:15" s="1" customFormat="1" ht="13.5" customHeight="1">
      <c r="A115" s="46" t="s">
        <v>117</v>
      </c>
      <c r="B115" s="46"/>
      <c r="C115" s="46"/>
      <c r="D115" s="46"/>
      <c r="E115" s="46"/>
      <c r="F115" s="46"/>
      <c r="G115" s="17" t="s">
        <v>92</v>
      </c>
      <c r="H115" s="17" t="s">
        <v>178</v>
      </c>
      <c r="I115" s="18">
        <f>600000</f>
        <v>600000</v>
      </c>
      <c r="J115" s="47">
        <f>331363</f>
        <v>331363</v>
      </c>
      <c r="K115" s="47"/>
      <c r="L115" s="47"/>
      <c r="M115" s="47"/>
      <c r="N115" s="48">
        <f>268637</f>
        <v>268637</v>
      </c>
      <c r="O115" s="48"/>
    </row>
    <row r="116" spans="1:15" s="1" customFormat="1" ht="13.5" customHeight="1">
      <c r="A116" s="46" t="s">
        <v>120</v>
      </c>
      <c r="B116" s="46"/>
      <c r="C116" s="46"/>
      <c r="D116" s="46"/>
      <c r="E116" s="46"/>
      <c r="F116" s="46"/>
      <c r="G116" s="17" t="s">
        <v>92</v>
      </c>
      <c r="H116" s="17" t="s">
        <v>179</v>
      </c>
      <c r="I116" s="18">
        <f>50000</f>
        <v>50000</v>
      </c>
      <c r="J116" s="47">
        <f>50000</f>
        <v>50000</v>
      </c>
      <c r="K116" s="47"/>
      <c r="L116" s="47"/>
      <c r="M116" s="47"/>
      <c r="N116" s="48">
        <f>0</f>
        <v>0</v>
      </c>
      <c r="O116" s="48"/>
    </row>
    <row r="117" spans="1:15" s="1" customFormat="1" ht="13.5" customHeight="1">
      <c r="A117" s="46" t="s">
        <v>122</v>
      </c>
      <c r="B117" s="46"/>
      <c r="C117" s="46"/>
      <c r="D117" s="46"/>
      <c r="E117" s="46"/>
      <c r="F117" s="46"/>
      <c r="G117" s="17" t="s">
        <v>92</v>
      </c>
      <c r="H117" s="17" t="s">
        <v>180</v>
      </c>
      <c r="I117" s="18">
        <f>70000</f>
        <v>70000</v>
      </c>
      <c r="J117" s="47">
        <f>69997.32</f>
        <v>69997.32</v>
      </c>
      <c r="K117" s="47"/>
      <c r="L117" s="47"/>
      <c r="M117" s="47"/>
      <c r="N117" s="48">
        <f>2.68</f>
        <v>2.68</v>
      </c>
      <c r="O117" s="48"/>
    </row>
    <row r="118" spans="1:15" s="1" customFormat="1" ht="13.5" customHeight="1">
      <c r="A118" s="46" t="s">
        <v>117</v>
      </c>
      <c r="B118" s="46"/>
      <c r="C118" s="46"/>
      <c r="D118" s="46"/>
      <c r="E118" s="46"/>
      <c r="F118" s="46"/>
      <c r="G118" s="17" t="s">
        <v>92</v>
      </c>
      <c r="H118" s="17" t="s">
        <v>181</v>
      </c>
      <c r="I118" s="18">
        <f>915968</f>
        <v>915968</v>
      </c>
      <c r="J118" s="47">
        <f>183505</f>
        <v>183505</v>
      </c>
      <c r="K118" s="47"/>
      <c r="L118" s="47"/>
      <c r="M118" s="47"/>
      <c r="N118" s="48">
        <f>732463</f>
        <v>732463</v>
      </c>
      <c r="O118" s="48"/>
    </row>
    <row r="119" spans="1:15" s="1" customFormat="1" ht="13.5" customHeight="1">
      <c r="A119" s="46" t="s">
        <v>107</v>
      </c>
      <c r="B119" s="46"/>
      <c r="C119" s="46"/>
      <c r="D119" s="46"/>
      <c r="E119" s="46"/>
      <c r="F119" s="46"/>
      <c r="G119" s="17" t="s">
        <v>92</v>
      </c>
      <c r="H119" s="17" t="s">
        <v>182</v>
      </c>
      <c r="I119" s="18">
        <f>60000</f>
        <v>60000</v>
      </c>
      <c r="J119" s="47">
        <f>60000</f>
        <v>60000</v>
      </c>
      <c r="K119" s="47"/>
      <c r="L119" s="47"/>
      <c r="M119" s="47"/>
      <c r="N119" s="48">
        <f>0</f>
        <v>0</v>
      </c>
      <c r="O119" s="48"/>
    </row>
    <row r="120" spans="1:15" s="1" customFormat="1" ht="13.5" customHeight="1">
      <c r="A120" s="46" t="s">
        <v>122</v>
      </c>
      <c r="B120" s="46"/>
      <c r="C120" s="46"/>
      <c r="D120" s="46"/>
      <c r="E120" s="46"/>
      <c r="F120" s="46"/>
      <c r="G120" s="17" t="s">
        <v>92</v>
      </c>
      <c r="H120" s="17" t="s">
        <v>183</v>
      </c>
      <c r="I120" s="18">
        <f>90000</f>
        <v>90000</v>
      </c>
      <c r="J120" s="47">
        <f>39129.2</f>
        <v>39129.2</v>
      </c>
      <c r="K120" s="47"/>
      <c r="L120" s="47"/>
      <c r="M120" s="47"/>
      <c r="N120" s="48">
        <f>50870.8</f>
        <v>50870.8</v>
      </c>
      <c r="O120" s="48"/>
    </row>
    <row r="121" spans="1:15" s="1" customFormat="1" ht="13.5" customHeight="1">
      <c r="A121" s="46" t="s">
        <v>120</v>
      </c>
      <c r="B121" s="46"/>
      <c r="C121" s="46"/>
      <c r="D121" s="46"/>
      <c r="E121" s="46"/>
      <c r="F121" s="46"/>
      <c r="G121" s="17" t="s">
        <v>92</v>
      </c>
      <c r="H121" s="17" t="s">
        <v>184</v>
      </c>
      <c r="I121" s="18">
        <f>420880</f>
        <v>420880</v>
      </c>
      <c r="J121" s="49" t="s">
        <v>46</v>
      </c>
      <c r="K121" s="49"/>
      <c r="L121" s="49"/>
      <c r="M121" s="49"/>
      <c r="N121" s="48">
        <f>420880</f>
        <v>420880</v>
      </c>
      <c r="O121" s="48"/>
    </row>
    <row r="122" spans="1:15" s="1" customFormat="1" ht="13.5" customHeight="1">
      <c r="A122" s="46" t="s">
        <v>117</v>
      </c>
      <c r="B122" s="46"/>
      <c r="C122" s="46"/>
      <c r="D122" s="46"/>
      <c r="E122" s="46"/>
      <c r="F122" s="46"/>
      <c r="G122" s="17" t="s">
        <v>92</v>
      </c>
      <c r="H122" s="17" t="s">
        <v>185</v>
      </c>
      <c r="I122" s="18">
        <f>1300000</f>
        <v>1300000</v>
      </c>
      <c r="J122" s="47">
        <f>1293629.05</f>
        <v>1293629.05</v>
      </c>
      <c r="K122" s="47"/>
      <c r="L122" s="47"/>
      <c r="M122" s="47"/>
      <c r="N122" s="48">
        <f>6370.95</f>
        <v>6370.95</v>
      </c>
      <c r="O122" s="48"/>
    </row>
    <row r="123" spans="1:15" s="1" customFormat="1" ht="13.5" customHeight="1">
      <c r="A123" s="46" t="s">
        <v>117</v>
      </c>
      <c r="B123" s="46"/>
      <c r="C123" s="46"/>
      <c r="D123" s="46"/>
      <c r="E123" s="46"/>
      <c r="F123" s="46"/>
      <c r="G123" s="17" t="s">
        <v>92</v>
      </c>
      <c r="H123" s="17" t="s">
        <v>186</v>
      </c>
      <c r="I123" s="18">
        <f>13131</f>
        <v>13131</v>
      </c>
      <c r="J123" s="47">
        <f>12936.29</f>
        <v>12936.29</v>
      </c>
      <c r="K123" s="47"/>
      <c r="L123" s="47"/>
      <c r="M123" s="47"/>
      <c r="N123" s="48">
        <f>194.71</f>
        <v>194.71</v>
      </c>
      <c r="O123" s="48"/>
    </row>
    <row r="124" spans="1:15" s="1" customFormat="1" ht="13.5" customHeight="1">
      <c r="A124" s="46" t="s">
        <v>117</v>
      </c>
      <c r="B124" s="46"/>
      <c r="C124" s="46"/>
      <c r="D124" s="46"/>
      <c r="E124" s="46"/>
      <c r="F124" s="46"/>
      <c r="G124" s="17" t="s">
        <v>92</v>
      </c>
      <c r="H124" s="17" t="s">
        <v>187</v>
      </c>
      <c r="I124" s="18">
        <f>300000</f>
        <v>300000</v>
      </c>
      <c r="J124" s="49" t="s">
        <v>46</v>
      </c>
      <c r="K124" s="49"/>
      <c r="L124" s="49"/>
      <c r="M124" s="49"/>
      <c r="N124" s="48">
        <f>300000</f>
        <v>300000</v>
      </c>
      <c r="O124" s="48"/>
    </row>
    <row r="125" spans="1:15" s="1" customFormat="1" ht="13.5" customHeight="1">
      <c r="A125" s="46" t="s">
        <v>105</v>
      </c>
      <c r="B125" s="46"/>
      <c r="C125" s="46"/>
      <c r="D125" s="46"/>
      <c r="E125" s="46"/>
      <c r="F125" s="46"/>
      <c r="G125" s="17" t="s">
        <v>92</v>
      </c>
      <c r="H125" s="17" t="s">
        <v>188</v>
      </c>
      <c r="I125" s="18">
        <f>267692</f>
        <v>267692</v>
      </c>
      <c r="J125" s="47">
        <f>200769</f>
        <v>200769</v>
      </c>
      <c r="K125" s="47"/>
      <c r="L125" s="47"/>
      <c r="M125" s="47"/>
      <c r="N125" s="48">
        <f>66923</f>
        <v>66923</v>
      </c>
      <c r="O125" s="48"/>
    </row>
    <row r="126" spans="1:15" s="1" customFormat="1" ht="13.5" customHeight="1">
      <c r="A126" s="46" t="s">
        <v>120</v>
      </c>
      <c r="B126" s="46"/>
      <c r="C126" s="46"/>
      <c r="D126" s="46"/>
      <c r="E126" s="46"/>
      <c r="F126" s="46"/>
      <c r="G126" s="17" t="s">
        <v>92</v>
      </c>
      <c r="H126" s="17" t="s">
        <v>189</v>
      </c>
      <c r="I126" s="18">
        <f>120000</f>
        <v>120000</v>
      </c>
      <c r="J126" s="47">
        <f>119400</f>
        <v>119400</v>
      </c>
      <c r="K126" s="47"/>
      <c r="L126" s="47"/>
      <c r="M126" s="47"/>
      <c r="N126" s="48">
        <f>600</f>
        <v>600</v>
      </c>
      <c r="O126" s="48"/>
    </row>
    <row r="127" spans="1:15" s="1" customFormat="1" ht="13.5" customHeight="1">
      <c r="A127" s="46" t="s">
        <v>93</v>
      </c>
      <c r="B127" s="46"/>
      <c r="C127" s="46"/>
      <c r="D127" s="46"/>
      <c r="E127" s="46"/>
      <c r="F127" s="46"/>
      <c r="G127" s="17" t="s">
        <v>92</v>
      </c>
      <c r="H127" s="17" t="s">
        <v>190</v>
      </c>
      <c r="I127" s="18">
        <f>296000</f>
        <v>296000</v>
      </c>
      <c r="J127" s="47">
        <f>153381.47</f>
        <v>153381.47</v>
      </c>
      <c r="K127" s="47"/>
      <c r="L127" s="47"/>
      <c r="M127" s="47"/>
      <c r="N127" s="48">
        <f>142618.53</f>
        <v>142618.53</v>
      </c>
      <c r="O127" s="48"/>
    </row>
    <row r="128" spans="1:15" s="1" customFormat="1" ht="13.5" customHeight="1">
      <c r="A128" s="46" t="s">
        <v>95</v>
      </c>
      <c r="B128" s="46"/>
      <c r="C128" s="46"/>
      <c r="D128" s="46"/>
      <c r="E128" s="46"/>
      <c r="F128" s="46"/>
      <c r="G128" s="17" t="s">
        <v>92</v>
      </c>
      <c r="H128" s="17" t="s">
        <v>191</v>
      </c>
      <c r="I128" s="18">
        <f>89000</f>
        <v>89000</v>
      </c>
      <c r="J128" s="47">
        <f>43847.06</f>
        <v>43847.06</v>
      </c>
      <c r="K128" s="47"/>
      <c r="L128" s="47"/>
      <c r="M128" s="47"/>
      <c r="N128" s="48">
        <f>45152.94</f>
        <v>45152.94</v>
      </c>
      <c r="O128" s="48"/>
    </row>
    <row r="129" spans="1:15" s="1" customFormat="1" ht="13.5" customHeight="1">
      <c r="A129" s="46" t="s">
        <v>99</v>
      </c>
      <c r="B129" s="46"/>
      <c r="C129" s="46"/>
      <c r="D129" s="46"/>
      <c r="E129" s="46"/>
      <c r="F129" s="46"/>
      <c r="G129" s="17" t="s">
        <v>92</v>
      </c>
      <c r="H129" s="17" t="s">
        <v>192</v>
      </c>
      <c r="I129" s="18">
        <f>45000</f>
        <v>45000</v>
      </c>
      <c r="J129" s="47">
        <f>9014.3</f>
        <v>9014.3</v>
      </c>
      <c r="K129" s="47"/>
      <c r="L129" s="47"/>
      <c r="M129" s="47"/>
      <c r="N129" s="48">
        <f>35985.7</f>
        <v>35985.7</v>
      </c>
      <c r="O129" s="48"/>
    </row>
    <row r="130" spans="1:15" s="1" customFormat="1" ht="13.5" customHeight="1">
      <c r="A130" s="46" t="s">
        <v>107</v>
      </c>
      <c r="B130" s="46"/>
      <c r="C130" s="46"/>
      <c r="D130" s="46"/>
      <c r="E130" s="46"/>
      <c r="F130" s="46"/>
      <c r="G130" s="17" t="s">
        <v>92</v>
      </c>
      <c r="H130" s="17" t="s">
        <v>193</v>
      </c>
      <c r="I130" s="18">
        <f>39260</f>
        <v>39260</v>
      </c>
      <c r="J130" s="47">
        <f>12300</f>
        <v>12300</v>
      </c>
      <c r="K130" s="47"/>
      <c r="L130" s="47"/>
      <c r="M130" s="47"/>
      <c r="N130" s="48">
        <f>26960</f>
        <v>26960</v>
      </c>
      <c r="O130" s="48"/>
    </row>
    <row r="131" spans="1:15" s="1" customFormat="1" ht="13.5" customHeight="1">
      <c r="A131" s="46" t="s">
        <v>120</v>
      </c>
      <c r="B131" s="46"/>
      <c r="C131" s="46"/>
      <c r="D131" s="46"/>
      <c r="E131" s="46"/>
      <c r="F131" s="46"/>
      <c r="G131" s="17" t="s">
        <v>92</v>
      </c>
      <c r="H131" s="17" t="s">
        <v>194</v>
      </c>
      <c r="I131" s="18">
        <f>30000</f>
        <v>30000</v>
      </c>
      <c r="J131" s="49" t="s">
        <v>46</v>
      </c>
      <c r="K131" s="49"/>
      <c r="L131" s="49"/>
      <c r="M131" s="49"/>
      <c r="N131" s="48">
        <f>30000</f>
        <v>30000</v>
      </c>
      <c r="O131" s="48"/>
    </row>
    <row r="132" spans="1:15" s="1" customFormat="1" ht="13.5" customHeight="1">
      <c r="A132" s="46" t="s">
        <v>122</v>
      </c>
      <c r="B132" s="46"/>
      <c r="C132" s="46"/>
      <c r="D132" s="46"/>
      <c r="E132" s="46"/>
      <c r="F132" s="46"/>
      <c r="G132" s="17" t="s">
        <v>92</v>
      </c>
      <c r="H132" s="17" t="s">
        <v>195</v>
      </c>
      <c r="I132" s="18">
        <f>5740</f>
        <v>5740</v>
      </c>
      <c r="J132" s="47">
        <f>3600</f>
        <v>3600</v>
      </c>
      <c r="K132" s="47"/>
      <c r="L132" s="47"/>
      <c r="M132" s="47"/>
      <c r="N132" s="48">
        <f>2140</f>
        <v>2140</v>
      </c>
      <c r="O132" s="48"/>
    </row>
    <row r="133" spans="1:15" s="1" customFormat="1" ht="13.5" customHeight="1">
      <c r="A133" s="46" t="s">
        <v>93</v>
      </c>
      <c r="B133" s="46"/>
      <c r="C133" s="46"/>
      <c r="D133" s="46"/>
      <c r="E133" s="46"/>
      <c r="F133" s="46"/>
      <c r="G133" s="17" t="s">
        <v>92</v>
      </c>
      <c r="H133" s="17" t="s">
        <v>196</v>
      </c>
      <c r="I133" s="18">
        <f>3266828.91</f>
        <v>3266828.91</v>
      </c>
      <c r="J133" s="47">
        <f>1700462.36</f>
        <v>1700462.36</v>
      </c>
      <c r="K133" s="47"/>
      <c r="L133" s="47"/>
      <c r="M133" s="47"/>
      <c r="N133" s="48">
        <f>1566366.55</f>
        <v>1566366.55</v>
      </c>
      <c r="O133" s="48"/>
    </row>
    <row r="134" spans="1:15" s="1" customFormat="1" ht="13.5" customHeight="1">
      <c r="A134" s="46" t="s">
        <v>95</v>
      </c>
      <c r="B134" s="46"/>
      <c r="C134" s="46"/>
      <c r="D134" s="46"/>
      <c r="E134" s="46"/>
      <c r="F134" s="46"/>
      <c r="G134" s="17" t="s">
        <v>92</v>
      </c>
      <c r="H134" s="17" t="s">
        <v>197</v>
      </c>
      <c r="I134" s="18">
        <f>984186.09</f>
        <v>984186.09</v>
      </c>
      <c r="J134" s="47">
        <f>477362.09</f>
        <v>477362.09</v>
      </c>
      <c r="K134" s="47"/>
      <c r="L134" s="47"/>
      <c r="M134" s="47"/>
      <c r="N134" s="48">
        <f>506824</f>
        <v>506824</v>
      </c>
      <c r="O134" s="48"/>
    </row>
    <row r="135" spans="1:15" s="1" customFormat="1" ht="13.5" customHeight="1">
      <c r="A135" s="46" t="s">
        <v>99</v>
      </c>
      <c r="B135" s="46"/>
      <c r="C135" s="46"/>
      <c r="D135" s="46"/>
      <c r="E135" s="46"/>
      <c r="F135" s="46"/>
      <c r="G135" s="17" t="s">
        <v>92</v>
      </c>
      <c r="H135" s="17" t="s">
        <v>198</v>
      </c>
      <c r="I135" s="18">
        <f>100000</f>
        <v>100000</v>
      </c>
      <c r="J135" s="47">
        <f>35154.7</f>
        <v>35154.7</v>
      </c>
      <c r="K135" s="47"/>
      <c r="L135" s="47"/>
      <c r="M135" s="47"/>
      <c r="N135" s="48">
        <f>64845.3</f>
        <v>64845.3</v>
      </c>
      <c r="O135" s="48"/>
    </row>
    <row r="136" spans="1:15" s="1" customFormat="1" ht="13.5" customHeight="1">
      <c r="A136" s="46" t="s">
        <v>113</v>
      </c>
      <c r="B136" s="46"/>
      <c r="C136" s="46"/>
      <c r="D136" s="46"/>
      <c r="E136" s="46"/>
      <c r="F136" s="46"/>
      <c r="G136" s="17" t="s">
        <v>92</v>
      </c>
      <c r="H136" s="17" t="s">
        <v>199</v>
      </c>
      <c r="I136" s="18">
        <f>70000</f>
        <v>70000</v>
      </c>
      <c r="J136" s="47">
        <f>27071.54</f>
        <v>27071.54</v>
      </c>
      <c r="K136" s="47"/>
      <c r="L136" s="47"/>
      <c r="M136" s="47"/>
      <c r="N136" s="48">
        <f>42928.46</f>
        <v>42928.46</v>
      </c>
      <c r="O136" s="48"/>
    </row>
    <row r="137" spans="1:15" s="1" customFormat="1" ht="13.5" customHeight="1">
      <c r="A137" s="46" t="s">
        <v>113</v>
      </c>
      <c r="B137" s="46"/>
      <c r="C137" s="46"/>
      <c r="D137" s="46"/>
      <c r="E137" s="46"/>
      <c r="F137" s="46"/>
      <c r="G137" s="17" t="s">
        <v>92</v>
      </c>
      <c r="H137" s="17" t="s">
        <v>200</v>
      </c>
      <c r="I137" s="18">
        <f>1000</f>
        <v>1000</v>
      </c>
      <c r="J137" s="47">
        <f>467.6</f>
        <v>467.6</v>
      </c>
      <c r="K137" s="47"/>
      <c r="L137" s="47"/>
      <c r="M137" s="47"/>
      <c r="N137" s="48">
        <f>532.4</f>
        <v>532.4</v>
      </c>
      <c r="O137" s="48"/>
    </row>
    <row r="138" spans="1:15" s="1" customFormat="1" ht="13.5" customHeight="1">
      <c r="A138" s="46" t="s">
        <v>101</v>
      </c>
      <c r="B138" s="46"/>
      <c r="C138" s="46"/>
      <c r="D138" s="46"/>
      <c r="E138" s="46"/>
      <c r="F138" s="46"/>
      <c r="G138" s="17" t="s">
        <v>92</v>
      </c>
      <c r="H138" s="17" t="s">
        <v>201</v>
      </c>
      <c r="I138" s="18">
        <f>13000</f>
        <v>13000</v>
      </c>
      <c r="J138" s="47">
        <f>3219</f>
        <v>3219</v>
      </c>
      <c r="K138" s="47"/>
      <c r="L138" s="47"/>
      <c r="M138" s="47"/>
      <c r="N138" s="48">
        <f>9781</f>
        <v>9781</v>
      </c>
      <c r="O138" s="48"/>
    </row>
    <row r="139" spans="1:15" s="1" customFormat="1" ht="13.5" customHeight="1">
      <c r="A139" s="46" t="s">
        <v>129</v>
      </c>
      <c r="B139" s="46"/>
      <c r="C139" s="46"/>
      <c r="D139" s="46"/>
      <c r="E139" s="46"/>
      <c r="F139" s="46"/>
      <c r="G139" s="17" t="s">
        <v>92</v>
      </c>
      <c r="H139" s="17" t="s">
        <v>202</v>
      </c>
      <c r="I139" s="18">
        <f>630000</f>
        <v>630000</v>
      </c>
      <c r="J139" s="47">
        <f>238035.81</f>
        <v>238035.81</v>
      </c>
      <c r="K139" s="47"/>
      <c r="L139" s="47"/>
      <c r="M139" s="47"/>
      <c r="N139" s="48">
        <f>391964.19</f>
        <v>391964.19</v>
      </c>
      <c r="O139" s="48"/>
    </row>
    <row r="140" spans="1:15" s="1" customFormat="1" ht="13.5" customHeight="1">
      <c r="A140" s="46" t="s">
        <v>117</v>
      </c>
      <c r="B140" s="46"/>
      <c r="C140" s="46"/>
      <c r="D140" s="46"/>
      <c r="E140" s="46"/>
      <c r="F140" s="46"/>
      <c r="G140" s="17" t="s">
        <v>92</v>
      </c>
      <c r="H140" s="17" t="s">
        <v>203</v>
      </c>
      <c r="I140" s="18">
        <f>19000</f>
        <v>19000</v>
      </c>
      <c r="J140" s="47">
        <f>6070.04</f>
        <v>6070.04</v>
      </c>
      <c r="K140" s="47"/>
      <c r="L140" s="47"/>
      <c r="M140" s="47"/>
      <c r="N140" s="48">
        <f>12929.96</f>
        <v>12929.96</v>
      </c>
      <c r="O140" s="48"/>
    </row>
    <row r="141" spans="1:15" s="1" customFormat="1" ht="13.5" customHeight="1">
      <c r="A141" s="46" t="s">
        <v>103</v>
      </c>
      <c r="B141" s="46"/>
      <c r="C141" s="46"/>
      <c r="D141" s="46"/>
      <c r="E141" s="46"/>
      <c r="F141" s="46"/>
      <c r="G141" s="17" t="s">
        <v>92</v>
      </c>
      <c r="H141" s="17" t="s">
        <v>204</v>
      </c>
      <c r="I141" s="18">
        <f>61600</f>
        <v>61600</v>
      </c>
      <c r="J141" s="47">
        <f>40525</f>
        <v>40525</v>
      </c>
      <c r="K141" s="47"/>
      <c r="L141" s="47"/>
      <c r="M141" s="47"/>
      <c r="N141" s="48">
        <f>21075</f>
        <v>21075</v>
      </c>
      <c r="O141" s="48"/>
    </row>
    <row r="142" spans="1:15" s="1" customFormat="1" ht="13.5" customHeight="1">
      <c r="A142" s="46" t="s">
        <v>120</v>
      </c>
      <c r="B142" s="46"/>
      <c r="C142" s="46"/>
      <c r="D142" s="46"/>
      <c r="E142" s="46"/>
      <c r="F142" s="46"/>
      <c r="G142" s="17" t="s">
        <v>92</v>
      </c>
      <c r="H142" s="17" t="s">
        <v>205</v>
      </c>
      <c r="I142" s="18">
        <f>90000</f>
        <v>90000</v>
      </c>
      <c r="J142" s="47">
        <f>71133</f>
        <v>71133</v>
      </c>
      <c r="K142" s="47"/>
      <c r="L142" s="47"/>
      <c r="M142" s="47"/>
      <c r="N142" s="48">
        <f>18867</f>
        <v>18867</v>
      </c>
      <c r="O142" s="48"/>
    </row>
    <row r="143" spans="1:15" s="1" customFormat="1" ht="13.5" customHeight="1">
      <c r="A143" s="46" t="s">
        <v>122</v>
      </c>
      <c r="B143" s="46"/>
      <c r="C143" s="46"/>
      <c r="D143" s="46"/>
      <c r="E143" s="46"/>
      <c r="F143" s="46"/>
      <c r="G143" s="17" t="s">
        <v>92</v>
      </c>
      <c r="H143" s="17" t="s">
        <v>206</v>
      </c>
      <c r="I143" s="18">
        <f>30000</f>
        <v>30000</v>
      </c>
      <c r="J143" s="47">
        <f>12548</f>
        <v>12548</v>
      </c>
      <c r="K143" s="47"/>
      <c r="L143" s="47"/>
      <c r="M143" s="47"/>
      <c r="N143" s="48">
        <f>17452</f>
        <v>17452</v>
      </c>
      <c r="O143" s="48"/>
    </row>
    <row r="144" spans="1:15" s="1" customFormat="1" ht="13.5" customHeight="1">
      <c r="A144" s="46" t="s">
        <v>107</v>
      </c>
      <c r="B144" s="46"/>
      <c r="C144" s="46"/>
      <c r="D144" s="46"/>
      <c r="E144" s="46"/>
      <c r="F144" s="46"/>
      <c r="G144" s="17" t="s">
        <v>92</v>
      </c>
      <c r="H144" s="17" t="s">
        <v>207</v>
      </c>
      <c r="I144" s="18">
        <f>11238</f>
        <v>11238</v>
      </c>
      <c r="J144" s="47">
        <f>7435</f>
        <v>7435</v>
      </c>
      <c r="K144" s="47"/>
      <c r="L144" s="47"/>
      <c r="M144" s="47"/>
      <c r="N144" s="48">
        <f>3803</f>
        <v>3803</v>
      </c>
      <c r="O144" s="48"/>
    </row>
    <row r="145" spans="1:15" s="1" customFormat="1" ht="13.5" customHeight="1">
      <c r="A145" s="46" t="s">
        <v>107</v>
      </c>
      <c r="B145" s="46"/>
      <c r="C145" s="46"/>
      <c r="D145" s="46"/>
      <c r="E145" s="46"/>
      <c r="F145" s="46"/>
      <c r="G145" s="17" t="s">
        <v>92</v>
      </c>
      <c r="H145" s="17" t="s">
        <v>208</v>
      </c>
      <c r="I145" s="18">
        <f>8762</f>
        <v>8762</v>
      </c>
      <c r="J145" s="47">
        <f>6956.65</f>
        <v>6956.65</v>
      </c>
      <c r="K145" s="47"/>
      <c r="L145" s="47"/>
      <c r="M145" s="47"/>
      <c r="N145" s="48">
        <f>1805.35</f>
        <v>1805.35</v>
      </c>
      <c r="O145" s="48"/>
    </row>
    <row r="146" spans="1:15" s="1" customFormat="1" ht="13.5" customHeight="1">
      <c r="A146" s="46" t="s">
        <v>93</v>
      </c>
      <c r="B146" s="46"/>
      <c r="C146" s="46"/>
      <c r="D146" s="46"/>
      <c r="E146" s="46"/>
      <c r="F146" s="46"/>
      <c r="G146" s="17" t="s">
        <v>92</v>
      </c>
      <c r="H146" s="17" t="s">
        <v>209</v>
      </c>
      <c r="I146" s="18">
        <f>703302.61</f>
        <v>703302.61</v>
      </c>
      <c r="J146" s="47">
        <f>573011.75</f>
        <v>573011.75</v>
      </c>
      <c r="K146" s="47"/>
      <c r="L146" s="47"/>
      <c r="M146" s="47"/>
      <c r="N146" s="48">
        <f>130290.86</f>
        <v>130290.86</v>
      </c>
      <c r="O146" s="48"/>
    </row>
    <row r="147" spans="1:15" s="1" customFormat="1" ht="13.5" customHeight="1">
      <c r="A147" s="46" t="s">
        <v>95</v>
      </c>
      <c r="B147" s="46"/>
      <c r="C147" s="46"/>
      <c r="D147" s="46"/>
      <c r="E147" s="46"/>
      <c r="F147" s="46"/>
      <c r="G147" s="17" t="s">
        <v>92</v>
      </c>
      <c r="H147" s="17" t="s">
        <v>210</v>
      </c>
      <c r="I147" s="18">
        <f>212397.39</f>
        <v>212397.39</v>
      </c>
      <c r="J147" s="47">
        <f>126880.15</f>
        <v>126880.15</v>
      </c>
      <c r="K147" s="47"/>
      <c r="L147" s="47"/>
      <c r="M147" s="47"/>
      <c r="N147" s="48">
        <f>85517.24</f>
        <v>85517.24</v>
      </c>
      <c r="O147" s="48"/>
    </row>
    <row r="148" spans="1:15" s="1" customFormat="1" ht="13.5" customHeight="1">
      <c r="A148" s="46" t="s">
        <v>93</v>
      </c>
      <c r="B148" s="46"/>
      <c r="C148" s="46"/>
      <c r="D148" s="46"/>
      <c r="E148" s="46"/>
      <c r="F148" s="46"/>
      <c r="G148" s="17" t="s">
        <v>92</v>
      </c>
      <c r="H148" s="17" t="s">
        <v>211</v>
      </c>
      <c r="I148" s="18">
        <f>12288.79</f>
        <v>12288.79</v>
      </c>
      <c r="J148" s="47">
        <f>3396.23</f>
        <v>3396.23</v>
      </c>
      <c r="K148" s="47"/>
      <c r="L148" s="47"/>
      <c r="M148" s="47"/>
      <c r="N148" s="48">
        <f>8892.56</f>
        <v>8892.56</v>
      </c>
      <c r="O148" s="48"/>
    </row>
    <row r="149" spans="1:15" s="1" customFormat="1" ht="13.5" customHeight="1">
      <c r="A149" s="46" t="s">
        <v>95</v>
      </c>
      <c r="B149" s="46"/>
      <c r="C149" s="46"/>
      <c r="D149" s="46"/>
      <c r="E149" s="46"/>
      <c r="F149" s="46"/>
      <c r="G149" s="17" t="s">
        <v>92</v>
      </c>
      <c r="H149" s="17" t="s">
        <v>212</v>
      </c>
      <c r="I149" s="18">
        <f>3711.21</f>
        <v>3711.21</v>
      </c>
      <c r="J149" s="47">
        <f>628.18</f>
        <v>628.18</v>
      </c>
      <c r="K149" s="47"/>
      <c r="L149" s="47"/>
      <c r="M149" s="47"/>
      <c r="N149" s="48">
        <f>3083.03</f>
        <v>3083.03</v>
      </c>
      <c r="O149" s="48"/>
    </row>
    <row r="150" spans="1:15" s="1" customFormat="1" ht="13.5" customHeight="1">
      <c r="A150" s="46" t="s">
        <v>107</v>
      </c>
      <c r="B150" s="46"/>
      <c r="C150" s="46"/>
      <c r="D150" s="46"/>
      <c r="E150" s="46"/>
      <c r="F150" s="46"/>
      <c r="G150" s="17" t="s">
        <v>92</v>
      </c>
      <c r="H150" s="17" t="s">
        <v>213</v>
      </c>
      <c r="I150" s="18">
        <f>92206</f>
        <v>92206</v>
      </c>
      <c r="J150" s="47">
        <f>47705.6</f>
        <v>47705.6</v>
      </c>
      <c r="K150" s="47"/>
      <c r="L150" s="47"/>
      <c r="M150" s="47"/>
      <c r="N150" s="48">
        <f>44500.4</f>
        <v>44500.4</v>
      </c>
      <c r="O150" s="48"/>
    </row>
    <row r="151" spans="1:15" s="1" customFormat="1" ht="13.5" customHeight="1">
      <c r="A151" s="46" t="s">
        <v>122</v>
      </c>
      <c r="B151" s="46"/>
      <c r="C151" s="46"/>
      <c r="D151" s="46"/>
      <c r="E151" s="46"/>
      <c r="F151" s="46"/>
      <c r="G151" s="17" t="s">
        <v>92</v>
      </c>
      <c r="H151" s="17" t="s">
        <v>214</v>
      </c>
      <c r="I151" s="18">
        <f>27794</f>
        <v>27794</v>
      </c>
      <c r="J151" s="47">
        <f>6625</f>
        <v>6625</v>
      </c>
      <c r="K151" s="47"/>
      <c r="L151" s="47"/>
      <c r="M151" s="47"/>
      <c r="N151" s="48">
        <f>21169</f>
        <v>21169</v>
      </c>
      <c r="O151" s="48"/>
    </row>
    <row r="152" spans="1:15" s="1" customFormat="1" ht="13.5" customHeight="1">
      <c r="A152" s="46" t="s">
        <v>107</v>
      </c>
      <c r="B152" s="46"/>
      <c r="C152" s="46"/>
      <c r="D152" s="46"/>
      <c r="E152" s="46"/>
      <c r="F152" s="46"/>
      <c r="G152" s="17" t="s">
        <v>92</v>
      </c>
      <c r="H152" s="17" t="s">
        <v>215</v>
      </c>
      <c r="I152" s="18">
        <f>410000</f>
        <v>410000</v>
      </c>
      <c r="J152" s="47">
        <f>146870</f>
        <v>146870</v>
      </c>
      <c r="K152" s="47"/>
      <c r="L152" s="47"/>
      <c r="M152" s="47"/>
      <c r="N152" s="48">
        <f>263130</f>
        <v>263130</v>
      </c>
      <c r="O152" s="48"/>
    </row>
    <row r="153" spans="1:15" s="1" customFormat="1" ht="13.5" customHeight="1">
      <c r="A153" s="46" t="s">
        <v>122</v>
      </c>
      <c r="B153" s="46"/>
      <c r="C153" s="46"/>
      <c r="D153" s="46"/>
      <c r="E153" s="46"/>
      <c r="F153" s="46"/>
      <c r="G153" s="17" t="s">
        <v>92</v>
      </c>
      <c r="H153" s="17" t="s">
        <v>216</v>
      </c>
      <c r="I153" s="18">
        <f>13000</f>
        <v>13000</v>
      </c>
      <c r="J153" s="47">
        <f>12940</f>
        <v>12940</v>
      </c>
      <c r="K153" s="47"/>
      <c r="L153" s="47"/>
      <c r="M153" s="47"/>
      <c r="N153" s="48">
        <f>60</f>
        <v>60</v>
      </c>
      <c r="O153" s="48"/>
    </row>
    <row r="154" spans="1:15" s="1" customFormat="1" ht="24" customHeight="1">
      <c r="A154" s="46" t="s">
        <v>217</v>
      </c>
      <c r="B154" s="46"/>
      <c r="C154" s="46"/>
      <c r="D154" s="46"/>
      <c r="E154" s="46"/>
      <c r="F154" s="46"/>
      <c r="G154" s="17" t="s">
        <v>92</v>
      </c>
      <c r="H154" s="17" t="s">
        <v>218</v>
      </c>
      <c r="I154" s="18">
        <f>180000</f>
        <v>180000</v>
      </c>
      <c r="J154" s="47">
        <f>105000</f>
        <v>105000</v>
      </c>
      <c r="K154" s="47"/>
      <c r="L154" s="47"/>
      <c r="M154" s="47"/>
      <c r="N154" s="48">
        <f>75000</f>
        <v>75000</v>
      </c>
      <c r="O154" s="48"/>
    </row>
    <row r="155" spans="1:15" s="1" customFormat="1" ht="13.5" customHeight="1">
      <c r="A155" s="46" t="s">
        <v>107</v>
      </c>
      <c r="B155" s="46"/>
      <c r="C155" s="46"/>
      <c r="D155" s="46"/>
      <c r="E155" s="46"/>
      <c r="F155" s="46"/>
      <c r="G155" s="17" t="s">
        <v>92</v>
      </c>
      <c r="H155" s="17" t="s">
        <v>219</v>
      </c>
      <c r="I155" s="18">
        <f>4500</f>
        <v>4500</v>
      </c>
      <c r="J155" s="47">
        <f>3500</f>
        <v>3500</v>
      </c>
      <c r="K155" s="47"/>
      <c r="L155" s="47"/>
      <c r="M155" s="47"/>
      <c r="N155" s="48">
        <f>1000</f>
        <v>1000</v>
      </c>
      <c r="O155" s="48"/>
    </row>
    <row r="156" spans="1:15" s="1" customFormat="1" ht="13.5" customHeight="1">
      <c r="A156" s="46" t="s">
        <v>120</v>
      </c>
      <c r="B156" s="46"/>
      <c r="C156" s="46"/>
      <c r="D156" s="46"/>
      <c r="E156" s="46"/>
      <c r="F156" s="46"/>
      <c r="G156" s="17" t="s">
        <v>92</v>
      </c>
      <c r="H156" s="17" t="s">
        <v>220</v>
      </c>
      <c r="I156" s="18">
        <f>500</f>
        <v>500</v>
      </c>
      <c r="J156" s="47">
        <f>500</f>
        <v>500</v>
      </c>
      <c r="K156" s="47"/>
      <c r="L156" s="47"/>
      <c r="M156" s="47"/>
      <c r="N156" s="48">
        <f>0</f>
        <v>0</v>
      </c>
      <c r="O156" s="48"/>
    </row>
    <row r="157" spans="1:15" s="1" customFormat="1" ht="13.5" customHeight="1">
      <c r="A157" s="46" t="s">
        <v>103</v>
      </c>
      <c r="B157" s="46"/>
      <c r="C157" s="46"/>
      <c r="D157" s="46"/>
      <c r="E157" s="46"/>
      <c r="F157" s="46"/>
      <c r="G157" s="17" t="s">
        <v>92</v>
      </c>
      <c r="H157" s="17" t="s">
        <v>221</v>
      </c>
      <c r="I157" s="18">
        <f>40000</f>
        <v>40000</v>
      </c>
      <c r="J157" s="47">
        <f>2678.88</f>
        <v>2678.88</v>
      </c>
      <c r="K157" s="47"/>
      <c r="L157" s="47"/>
      <c r="M157" s="47"/>
      <c r="N157" s="48">
        <f>37321.12</f>
        <v>37321.12</v>
      </c>
      <c r="O157" s="48"/>
    </row>
    <row r="158" spans="1:15" s="1" customFormat="1" ht="15" customHeight="1">
      <c r="A158" s="50" t="s">
        <v>222</v>
      </c>
      <c r="B158" s="50"/>
      <c r="C158" s="50"/>
      <c r="D158" s="50"/>
      <c r="E158" s="50"/>
      <c r="F158" s="50"/>
      <c r="G158" s="19" t="s">
        <v>223</v>
      </c>
      <c r="H158" s="19" t="s">
        <v>37</v>
      </c>
      <c r="I158" s="20">
        <f>-2124265.98</f>
        <v>-2124265.98</v>
      </c>
      <c r="J158" s="51">
        <f>2569366.54</f>
        <v>2569366.54</v>
      </c>
      <c r="K158" s="51"/>
      <c r="L158" s="51"/>
      <c r="M158" s="51"/>
      <c r="N158" s="52" t="s">
        <v>37</v>
      </c>
      <c r="O158" s="52"/>
    </row>
    <row r="159" spans="1:15" s="1" customFormat="1" ht="13.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</row>
    <row r="160" spans="1:15" s="1" customFormat="1" ht="13.5" customHeight="1">
      <c r="A160" s="32" t="s">
        <v>224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1:15" s="1" customFormat="1" ht="45.75" customHeight="1">
      <c r="A161" s="33" t="s">
        <v>23</v>
      </c>
      <c r="B161" s="33"/>
      <c r="C161" s="33"/>
      <c r="D161" s="33"/>
      <c r="E161" s="33"/>
      <c r="F161" s="33"/>
      <c r="G161" s="8" t="s">
        <v>24</v>
      </c>
      <c r="H161" s="8" t="s">
        <v>225</v>
      </c>
      <c r="I161" s="9" t="s">
        <v>26</v>
      </c>
      <c r="J161" s="34" t="s">
        <v>27</v>
      </c>
      <c r="K161" s="34"/>
      <c r="L161" s="34"/>
      <c r="M161" s="34"/>
      <c r="N161" s="35" t="s">
        <v>28</v>
      </c>
      <c r="O161" s="35"/>
    </row>
    <row r="162" spans="1:15" s="1" customFormat="1" ht="12.75" customHeight="1">
      <c r="A162" s="36" t="s">
        <v>29</v>
      </c>
      <c r="B162" s="36"/>
      <c r="C162" s="36"/>
      <c r="D162" s="36"/>
      <c r="E162" s="36"/>
      <c r="F162" s="36"/>
      <c r="G162" s="10" t="s">
        <v>30</v>
      </c>
      <c r="H162" s="10" t="s">
        <v>31</v>
      </c>
      <c r="I162" s="11" t="s">
        <v>32</v>
      </c>
      <c r="J162" s="37" t="s">
        <v>33</v>
      </c>
      <c r="K162" s="37"/>
      <c r="L162" s="37"/>
      <c r="M162" s="37"/>
      <c r="N162" s="38" t="s">
        <v>34</v>
      </c>
      <c r="O162" s="38"/>
    </row>
    <row r="163" spans="1:15" s="1" customFormat="1" ht="13.5" customHeight="1">
      <c r="A163" s="39" t="s">
        <v>226</v>
      </c>
      <c r="B163" s="39"/>
      <c r="C163" s="39"/>
      <c r="D163" s="39"/>
      <c r="E163" s="39"/>
      <c r="F163" s="39"/>
      <c r="G163" s="12" t="s">
        <v>227</v>
      </c>
      <c r="H163" s="12" t="s">
        <v>37</v>
      </c>
      <c r="I163" s="21">
        <f>2124265.98</f>
        <v>2124265.98</v>
      </c>
      <c r="J163" s="40">
        <f>-2569366.54</f>
        <v>-2569366.54</v>
      </c>
      <c r="K163" s="40"/>
      <c r="L163" s="40"/>
      <c r="M163" s="40"/>
      <c r="N163" s="53">
        <f>4693632.52</f>
        <v>4693632.52</v>
      </c>
      <c r="O163" s="53"/>
    </row>
    <row r="164" spans="1:15" s="1" customFormat="1" ht="13.5" customHeight="1">
      <c r="A164" s="54" t="s">
        <v>228</v>
      </c>
      <c r="B164" s="54"/>
      <c r="C164" s="54"/>
      <c r="D164" s="54"/>
      <c r="E164" s="54"/>
      <c r="F164" s="54"/>
      <c r="G164" s="22"/>
      <c r="H164" s="22"/>
      <c r="I164" s="23"/>
      <c r="J164" s="55"/>
      <c r="K164" s="55"/>
      <c r="L164" s="55"/>
      <c r="M164" s="55"/>
      <c r="N164" s="56"/>
      <c r="O164" s="56"/>
    </row>
    <row r="165" spans="1:15" s="1" customFormat="1" ht="13.5" customHeight="1">
      <c r="A165" s="42" t="s">
        <v>229</v>
      </c>
      <c r="B165" s="42"/>
      <c r="C165" s="42"/>
      <c r="D165" s="42"/>
      <c r="E165" s="42"/>
      <c r="F165" s="42"/>
      <c r="G165" s="24" t="s">
        <v>230</v>
      </c>
      <c r="H165" s="14" t="s">
        <v>37</v>
      </c>
      <c r="I165" s="25" t="s">
        <v>46</v>
      </c>
      <c r="J165" s="57" t="s">
        <v>46</v>
      </c>
      <c r="K165" s="57"/>
      <c r="L165" s="57"/>
      <c r="M165" s="57"/>
      <c r="N165" s="58" t="s">
        <v>46</v>
      </c>
      <c r="O165" s="58"/>
    </row>
    <row r="166" spans="1:15" s="1" customFormat="1" ht="13.5" customHeight="1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</row>
    <row r="167" spans="1:15" s="1" customFormat="1" ht="13.5" customHeight="1">
      <c r="A167" s="46" t="s">
        <v>231</v>
      </c>
      <c r="B167" s="46"/>
      <c r="C167" s="46"/>
      <c r="D167" s="46"/>
      <c r="E167" s="46"/>
      <c r="F167" s="46"/>
      <c r="G167" s="22" t="s">
        <v>232</v>
      </c>
      <c r="H167" s="22" t="s">
        <v>37</v>
      </c>
      <c r="I167" s="23" t="s">
        <v>46</v>
      </c>
      <c r="J167" s="49" t="s">
        <v>46</v>
      </c>
      <c r="K167" s="49"/>
      <c r="L167" s="49"/>
      <c r="M167" s="49"/>
      <c r="N167" s="56" t="s">
        <v>46</v>
      </c>
      <c r="O167" s="56"/>
    </row>
    <row r="168" spans="1:15" s="1" customFormat="1" ht="13.5" customHeight="1">
      <c r="A168" s="46"/>
      <c r="B168" s="46"/>
      <c r="C168" s="46"/>
      <c r="D168" s="46"/>
      <c r="E168" s="46"/>
      <c r="F168" s="46"/>
      <c r="G168" s="17" t="s">
        <v>232</v>
      </c>
      <c r="H168" s="17"/>
      <c r="I168" s="26" t="s">
        <v>46</v>
      </c>
      <c r="J168" s="49" t="s">
        <v>46</v>
      </c>
      <c r="K168" s="49"/>
      <c r="L168" s="49"/>
      <c r="M168" s="49"/>
      <c r="N168" s="60" t="s">
        <v>46</v>
      </c>
      <c r="O168" s="60"/>
    </row>
    <row r="169" spans="1:15" s="1" customFormat="1" ht="13.5" customHeight="1">
      <c r="A169" s="46" t="s">
        <v>233</v>
      </c>
      <c r="B169" s="46"/>
      <c r="C169" s="46"/>
      <c r="D169" s="46"/>
      <c r="E169" s="46"/>
      <c r="F169" s="46"/>
      <c r="G169" s="17" t="s">
        <v>234</v>
      </c>
      <c r="H169" s="17" t="s">
        <v>235</v>
      </c>
      <c r="I169" s="27">
        <f>2124265.98</f>
        <v>2124265.98</v>
      </c>
      <c r="J169" s="47">
        <f>-2569366.54</f>
        <v>-2569366.54</v>
      </c>
      <c r="K169" s="47"/>
      <c r="L169" s="47"/>
      <c r="M169" s="47"/>
      <c r="N169" s="61">
        <f>4693632.52</f>
        <v>4693632.52</v>
      </c>
      <c r="O169" s="61"/>
    </row>
    <row r="170" spans="1:15" s="1" customFormat="1" ht="13.5" customHeight="1">
      <c r="A170" s="46" t="s">
        <v>236</v>
      </c>
      <c r="B170" s="46"/>
      <c r="C170" s="46"/>
      <c r="D170" s="46"/>
      <c r="E170" s="46"/>
      <c r="F170" s="46"/>
      <c r="G170" s="17" t="s">
        <v>237</v>
      </c>
      <c r="H170" s="17" t="s">
        <v>242</v>
      </c>
      <c r="I170" s="27">
        <f>-50534846.2</f>
        <v>-50534846.2</v>
      </c>
      <c r="J170" s="47">
        <f>-J12</f>
        <v>-30417302.26</v>
      </c>
      <c r="K170" s="47"/>
      <c r="L170" s="47"/>
      <c r="M170" s="47"/>
      <c r="N170" s="62" t="s">
        <v>37</v>
      </c>
      <c r="O170" s="62"/>
    </row>
    <row r="171" spans="1:15" s="1" customFormat="1" ht="13.5" customHeight="1">
      <c r="A171" s="46" t="s">
        <v>238</v>
      </c>
      <c r="B171" s="46"/>
      <c r="C171" s="46"/>
      <c r="D171" s="46"/>
      <c r="E171" s="46"/>
      <c r="F171" s="46"/>
      <c r="G171" s="17" t="s">
        <v>239</v>
      </c>
      <c r="H171" s="17" t="s">
        <v>243</v>
      </c>
      <c r="I171" s="27">
        <f>52659112.18</f>
        <v>52659112.18</v>
      </c>
      <c r="J171" s="47">
        <f>J42</f>
        <v>27847935.72</v>
      </c>
      <c r="K171" s="47"/>
      <c r="L171" s="47"/>
      <c r="M171" s="47"/>
      <c r="N171" s="62" t="s">
        <v>37</v>
      </c>
      <c r="O171" s="62"/>
    </row>
    <row r="172" spans="1:15" s="1" customFormat="1" ht="13.5" customHeight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</row>
    <row r="173" spans="1:15" s="1" customFormat="1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1:15" s="1" customFormat="1" ht="13.5" customHeight="1">
      <c r="A174" s="64" t="s">
        <v>240</v>
      </c>
      <c r="B174" s="64"/>
      <c r="C174" s="64"/>
      <c r="D174" s="64"/>
      <c r="E174" s="64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1:15" s="1" customFormat="1" ht="13.5" customHeight="1">
      <c r="A175" s="29" t="s">
        <v>241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</row>
  </sheetData>
  <sheetProtection selectLockedCells="1" selectUnlockedCells="1"/>
  <mergeCells count="497">
    <mergeCell ref="A175:O175"/>
    <mergeCell ref="A172:O172"/>
    <mergeCell ref="A173:O173"/>
    <mergeCell ref="A174:E174"/>
    <mergeCell ref="F174:O174"/>
    <mergeCell ref="A170:F170"/>
    <mergeCell ref="J170:M170"/>
    <mergeCell ref="N170:O170"/>
    <mergeCell ref="A171:F171"/>
    <mergeCell ref="J171:M171"/>
    <mergeCell ref="N171:O171"/>
    <mergeCell ref="A168:F168"/>
    <mergeCell ref="J168:M168"/>
    <mergeCell ref="N168:O168"/>
    <mergeCell ref="A169:F169"/>
    <mergeCell ref="J169:M169"/>
    <mergeCell ref="N169:O169"/>
    <mergeCell ref="A166:O166"/>
    <mergeCell ref="A167:F167"/>
    <mergeCell ref="J167:M167"/>
    <mergeCell ref="N167:O167"/>
    <mergeCell ref="A164:F164"/>
    <mergeCell ref="J164:M164"/>
    <mergeCell ref="N164:O164"/>
    <mergeCell ref="A165:F165"/>
    <mergeCell ref="J165:M165"/>
    <mergeCell ref="N165:O165"/>
    <mergeCell ref="A162:F162"/>
    <mergeCell ref="J162:M162"/>
    <mergeCell ref="N162:O162"/>
    <mergeCell ref="A163:F163"/>
    <mergeCell ref="J163:M163"/>
    <mergeCell ref="N163:O163"/>
    <mergeCell ref="A159:O159"/>
    <mergeCell ref="A160:O160"/>
    <mergeCell ref="A161:F161"/>
    <mergeCell ref="J161:M161"/>
    <mergeCell ref="N161:O161"/>
    <mergeCell ref="A157:F157"/>
    <mergeCell ref="J157:M157"/>
    <mergeCell ref="N157:O157"/>
    <mergeCell ref="A158:F158"/>
    <mergeCell ref="J158:M158"/>
    <mergeCell ref="N158:O158"/>
    <mergeCell ref="A155:F155"/>
    <mergeCell ref="J155:M155"/>
    <mergeCell ref="N155:O155"/>
    <mergeCell ref="A156:F156"/>
    <mergeCell ref="J156:M156"/>
    <mergeCell ref="N156:O156"/>
    <mergeCell ref="A153:F153"/>
    <mergeCell ref="J153:M153"/>
    <mergeCell ref="N153:O153"/>
    <mergeCell ref="A154:F154"/>
    <mergeCell ref="J154:M154"/>
    <mergeCell ref="N154:O154"/>
    <mergeCell ref="A151:F151"/>
    <mergeCell ref="J151:M151"/>
    <mergeCell ref="N151:O151"/>
    <mergeCell ref="A152:F152"/>
    <mergeCell ref="J152:M152"/>
    <mergeCell ref="N152:O152"/>
    <mergeCell ref="A149:F149"/>
    <mergeCell ref="J149:M149"/>
    <mergeCell ref="N149:O149"/>
    <mergeCell ref="A150:F150"/>
    <mergeCell ref="J150:M150"/>
    <mergeCell ref="N150:O150"/>
    <mergeCell ref="A147:F147"/>
    <mergeCell ref="J147:M147"/>
    <mergeCell ref="N147:O147"/>
    <mergeCell ref="A148:F148"/>
    <mergeCell ref="J148:M148"/>
    <mergeCell ref="N148:O148"/>
    <mergeCell ref="A145:F145"/>
    <mergeCell ref="J145:M145"/>
    <mergeCell ref="N145:O145"/>
    <mergeCell ref="A146:F146"/>
    <mergeCell ref="J146:M146"/>
    <mergeCell ref="N146:O146"/>
    <mergeCell ref="A143:F143"/>
    <mergeCell ref="J143:M143"/>
    <mergeCell ref="N143:O143"/>
    <mergeCell ref="A144:F144"/>
    <mergeCell ref="J144:M144"/>
    <mergeCell ref="N144:O144"/>
    <mergeCell ref="A141:F141"/>
    <mergeCell ref="J141:M141"/>
    <mergeCell ref="N141:O141"/>
    <mergeCell ref="A142:F142"/>
    <mergeCell ref="J142:M142"/>
    <mergeCell ref="N142:O142"/>
    <mergeCell ref="A139:F139"/>
    <mergeCell ref="J139:M139"/>
    <mergeCell ref="N139:O139"/>
    <mergeCell ref="A140:F140"/>
    <mergeCell ref="J140:M140"/>
    <mergeCell ref="N140:O140"/>
    <mergeCell ref="A137:F137"/>
    <mergeCell ref="J137:M137"/>
    <mergeCell ref="N137:O137"/>
    <mergeCell ref="A138:F138"/>
    <mergeCell ref="J138:M138"/>
    <mergeCell ref="N138:O138"/>
    <mergeCell ref="A135:F135"/>
    <mergeCell ref="J135:M135"/>
    <mergeCell ref="N135:O135"/>
    <mergeCell ref="A136:F136"/>
    <mergeCell ref="J136:M136"/>
    <mergeCell ref="N136:O136"/>
    <mergeCell ref="A133:F133"/>
    <mergeCell ref="J133:M133"/>
    <mergeCell ref="N133:O133"/>
    <mergeCell ref="A134:F134"/>
    <mergeCell ref="J134:M134"/>
    <mergeCell ref="N134:O134"/>
    <mergeCell ref="A131:F131"/>
    <mergeCell ref="J131:M131"/>
    <mergeCell ref="N131:O131"/>
    <mergeCell ref="A132:F132"/>
    <mergeCell ref="J132:M132"/>
    <mergeCell ref="N132:O132"/>
    <mergeCell ref="A129:F129"/>
    <mergeCell ref="J129:M129"/>
    <mergeCell ref="N129:O129"/>
    <mergeCell ref="A130:F130"/>
    <mergeCell ref="J130:M130"/>
    <mergeCell ref="N130:O130"/>
    <mergeCell ref="A127:F127"/>
    <mergeCell ref="J127:M127"/>
    <mergeCell ref="N127:O127"/>
    <mergeCell ref="A128:F128"/>
    <mergeCell ref="J128:M128"/>
    <mergeCell ref="N128:O128"/>
    <mergeCell ref="A125:F125"/>
    <mergeCell ref="J125:M125"/>
    <mergeCell ref="N125:O125"/>
    <mergeCell ref="A126:F126"/>
    <mergeCell ref="J126:M126"/>
    <mergeCell ref="N126:O126"/>
    <mergeCell ref="A123:F123"/>
    <mergeCell ref="J123:M123"/>
    <mergeCell ref="N123:O123"/>
    <mergeCell ref="A124:F124"/>
    <mergeCell ref="J124:M124"/>
    <mergeCell ref="N124:O124"/>
    <mergeCell ref="A121:F121"/>
    <mergeCell ref="J121:M121"/>
    <mergeCell ref="N121:O121"/>
    <mergeCell ref="A122:F122"/>
    <mergeCell ref="J122:M122"/>
    <mergeCell ref="N122:O122"/>
    <mergeCell ref="A119:F119"/>
    <mergeCell ref="J119:M119"/>
    <mergeCell ref="N119:O119"/>
    <mergeCell ref="A120:F120"/>
    <mergeCell ref="J120:M120"/>
    <mergeCell ref="N120:O120"/>
    <mergeCell ref="A117:F117"/>
    <mergeCell ref="J117:M117"/>
    <mergeCell ref="N117:O117"/>
    <mergeCell ref="A118:F118"/>
    <mergeCell ref="J118:M118"/>
    <mergeCell ref="N118:O118"/>
    <mergeCell ref="A115:F115"/>
    <mergeCell ref="J115:M115"/>
    <mergeCell ref="N115:O115"/>
    <mergeCell ref="A116:F116"/>
    <mergeCell ref="J116:M116"/>
    <mergeCell ref="N116:O116"/>
    <mergeCell ref="A113:F113"/>
    <mergeCell ref="J113:M113"/>
    <mergeCell ref="N113:O113"/>
    <mergeCell ref="A114:F114"/>
    <mergeCell ref="J114:M114"/>
    <mergeCell ref="N114:O114"/>
    <mergeCell ref="A111:F111"/>
    <mergeCell ref="J111:M111"/>
    <mergeCell ref="N111:O111"/>
    <mergeCell ref="A112:F112"/>
    <mergeCell ref="J112:M112"/>
    <mergeCell ref="N112:O112"/>
    <mergeCell ref="A109:F109"/>
    <mergeCell ref="J109:M109"/>
    <mergeCell ref="N109:O109"/>
    <mergeCell ref="A110:F110"/>
    <mergeCell ref="J110:M110"/>
    <mergeCell ref="N110:O110"/>
    <mergeCell ref="A107:F107"/>
    <mergeCell ref="J107:M107"/>
    <mergeCell ref="N107:O107"/>
    <mergeCell ref="A108:F108"/>
    <mergeCell ref="J108:M108"/>
    <mergeCell ref="N108:O108"/>
    <mergeCell ref="A105:F105"/>
    <mergeCell ref="J105:M105"/>
    <mergeCell ref="N105:O105"/>
    <mergeCell ref="A106:F106"/>
    <mergeCell ref="J106:M106"/>
    <mergeCell ref="N106:O106"/>
    <mergeCell ref="A103:F103"/>
    <mergeCell ref="J103:M103"/>
    <mergeCell ref="N103:O103"/>
    <mergeCell ref="A104:F104"/>
    <mergeCell ref="J104:M104"/>
    <mergeCell ref="N104:O104"/>
    <mergeCell ref="A101:F101"/>
    <mergeCell ref="J101:M101"/>
    <mergeCell ref="N101:O101"/>
    <mergeCell ref="A102:F102"/>
    <mergeCell ref="J102:M102"/>
    <mergeCell ref="N102:O102"/>
    <mergeCell ref="A99:F99"/>
    <mergeCell ref="J99:M99"/>
    <mergeCell ref="N99:O99"/>
    <mergeCell ref="A100:F100"/>
    <mergeCell ref="J100:M100"/>
    <mergeCell ref="N100:O100"/>
    <mergeCell ref="A97:F97"/>
    <mergeCell ref="J97:M97"/>
    <mergeCell ref="N97:O97"/>
    <mergeCell ref="A98:F98"/>
    <mergeCell ref="J98:M98"/>
    <mergeCell ref="N98:O98"/>
    <mergeCell ref="A95:F95"/>
    <mergeCell ref="J95:M95"/>
    <mergeCell ref="N95:O95"/>
    <mergeCell ref="A96:F96"/>
    <mergeCell ref="J96:M96"/>
    <mergeCell ref="N96:O96"/>
    <mergeCell ref="A93:F93"/>
    <mergeCell ref="J93:M93"/>
    <mergeCell ref="N93:O93"/>
    <mergeCell ref="A94:F94"/>
    <mergeCell ref="J94:M94"/>
    <mergeCell ref="N94:O94"/>
    <mergeCell ref="A91:F91"/>
    <mergeCell ref="J91:M91"/>
    <mergeCell ref="N91:O91"/>
    <mergeCell ref="A92:F92"/>
    <mergeCell ref="J92:M92"/>
    <mergeCell ref="N92:O92"/>
    <mergeCell ref="A89:F89"/>
    <mergeCell ref="J89:M89"/>
    <mergeCell ref="N89:O89"/>
    <mergeCell ref="A90:F90"/>
    <mergeCell ref="J90:M90"/>
    <mergeCell ref="N90:O90"/>
    <mergeCell ref="A87:F87"/>
    <mergeCell ref="J87:M87"/>
    <mergeCell ref="N87:O87"/>
    <mergeCell ref="A88:F88"/>
    <mergeCell ref="J88:M88"/>
    <mergeCell ref="N88:O88"/>
    <mergeCell ref="A85:F85"/>
    <mergeCell ref="J85:M85"/>
    <mergeCell ref="N85:O85"/>
    <mergeCell ref="A86:F86"/>
    <mergeCell ref="J86:M86"/>
    <mergeCell ref="N86:O86"/>
    <mergeCell ref="A83:F83"/>
    <mergeCell ref="J83:M83"/>
    <mergeCell ref="N83:O83"/>
    <mergeCell ref="A84:F84"/>
    <mergeCell ref="J84:M84"/>
    <mergeCell ref="N84:O84"/>
    <mergeCell ref="A81:F81"/>
    <mergeCell ref="J81:M81"/>
    <mergeCell ref="N81:O81"/>
    <mergeCell ref="A82:F82"/>
    <mergeCell ref="J82:M82"/>
    <mergeCell ref="N82:O82"/>
    <mergeCell ref="A79:F79"/>
    <mergeCell ref="J79:M79"/>
    <mergeCell ref="N79:O79"/>
    <mergeCell ref="A80:F80"/>
    <mergeCell ref="J80:M80"/>
    <mergeCell ref="N80:O80"/>
    <mergeCell ref="A77:F77"/>
    <mergeCell ref="J77:M77"/>
    <mergeCell ref="N77:O77"/>
    <mergeCell ref="A78:F78"/>
    <mergeCell ref="J78:M78"/>
    <mergeCell ref="N78:O78"/>
    <mergeCell ref="A75:F75"/>
    <mergeCell ref="J75:M75"/>
    <mergeCell ref="N75:O75"/>
    <mergeCell ref="A76:F76"/>
    <mergeCell ref="J76:M76"/>
    <mergeCell ref="N76:O76"/>
    <mergeCell ref="A73:F73"/>
    <mergeCell ref="J73:M73"/>
    <mergeCell ref="N73:O73"/>
    <mergeCell ref="A74:F74"/>
    <mergeCell ref="J74:M74"/>
    <mergeCell ref="N74:O74"/>
    <mergeCell ref="A71:F71"/>
    <mergeCell ref="J71:M71"/>
    <mergeCell ref="N71:O71"/>
    <mergeCell ref="A72:F72"/>
    <mergeCell ref="J72:M72"/>
    <mergeCell ref="N72:O72"/>
    <mergeCell ref="A69:F69"/>
    <mergeCell ref="J69:M69"/>
    <mergeCell ref="N69:O69"/>
    <mergeCell ref="A70:F70"/>
    <mergeCell ref="J70:M70"/>
    <mergeCell ref="N70:O70"/>
    <mergeCell ref="A67:F67"/>
    <mergeCell ref="J67:M67"/>
    <mergeCell ref="N67:O67"/>
    <mergeCell ref="A68:F68"/>
    <mergeCell ref="J68:M68"/>
    <mergeCell ref="N68:O68"/>
    <mergeCell ref="A65:F65"/>
    <mergeCell ref="J65:M65"/>
    <mergeCell ref="N65:O65"/>
    <mergeCell ref="A66:F66"/>
    <mergeCell ref="J66:M66"/>
    <mergeCell ref="N66:O66"/>
    <mergeCell ref="A63:F63"/>
    <mergeCell ref="J63:M63"/>
    <mergeCell ref="N63:O63"/>
    <mergeCell ref="A64:F64"/>
    <mergeCell ref="J64:M64"/>
    <mergeCell ref="N64:O64"/>
    <mergeCell ref="A61:F61"/>
    <mergeCell ref="J61:M61"/>
    <mergeCell ref="N61:O61"/>
    <mergeCell ref="A62:F62"/>
    <mergeCell ref="J62:M62"/>
    <mergeCell ref="N62:O62"/>
    <mergeCell ref="A59:F59"/>
    <mergeCell ref="J59:M59"/>
    <mergeCell ref="N59:O59"/>
    <mergeCell ref="A60:F60"/>
    <mergeCell ref="J60:M60"/>
    <mergeCell ref="N60:O60"/>
    <mergeCell ref="A57:F57"/>
    <mergeCell ref="J57:M57"/>
    <mergeCell ref="N57:O57"/>
    <mergeCell ref="A58:F58"/>
    <mergeCell ref="J58:M58"/>
    <mergeCell ref="N58:O58"/>
    <mergeCell ref="A55:F55"/>
    <mergeCell ref="J55:M55"/>
    <mergeCell ref="N55:O55"/>
    <mergeCell ref="A56:F56"/>
    <mergeCell ref="J56:M56"/>
    <mergeCell ref="N56:O56"/>
    <mergeCell ref="A53:F53"/>
    <mergeCell ref="J53:M53"/>
    <mergeCell ref="N53:O53"/>
    <mergeCell ref="A54:F54"/>
    <mergeCell ref="J54:M54"/>
    <mergeCell ref="N54:O54"/>
    <mergeCell ref="A51:F51"/>
    <mergeCell ref="J51:M51"/>
    <mergeCell ref="N51:O51"/>
    <mergeCell ref="A52:F52"/>
    <mergeCell ref="J52:M52"/>
    <mergeCell ref="N52:O52"/>
    <mergeCell ref="A49:F49"/>
    <mergeCell ref="J49:M49"/>
    <mergeCell ref="N49:O49"/>
    <mergeCell ref="A50:F50"/>
    <mergeCell ref="J50:M50"/>
    <mergeCell ref="N50:O50"/>
    <mergeCell ref="A47:F47"/>
    <mergeCell ref="J47:M47"/>
    <mergeCell ref="N47:O47"/>
    <mergeCell ref="A48:F48"/>
    <mergeCell ref="J48:M48"/>
    <mergeCell ref="N48:O48"/>
    <mergeCell ref="A45:F45"/>
    <mergeCell ref="J45:M45"/>
    <mergeCell ref="N45:O45"/>
    <mergeCell ref="A46:F46"/>
    <mergeCell ref="J46:M46"/>
    <mergeCell ref="N46:O46"/>
    <mergeCell ref="A43:F43"/>
    <mergeCell ref="J43:M43"/>
    <mergeCell ref="N43:O43"/>
    <mergeCell ref="A44:F44"/>
    <mergeCell ref="J44:M44"/>
    <mergeCell ref="N44:O44"/>
    <mergeCell ref="A41:F41"/>
    <mergeCell ref="J41:M41"/>
    <mergeCell ref="N41:O41"/>
    <mergeCell ref="A42:F42"/>
    <mergeCell ref="J42:M42"/>
    <mergeCell ref="N42:O42"/>
    <mergeCell ref="A38:O38"/>
    <mergeCell ref="A39:O39"/>
    <mergeCell ref="A40:F40"/>
    <mergeCell ref="J40:M40"/>
    <mergeCell ref="N40:O40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8:B8"/>
    <mergeCell ref="C8:J8"/>
    <mergeCell ref="K8:N8"/>
    <mergeCell ref="A9:O9"/>
    <mergeCell ref="A6:D6"/>
    <mergeCell ref="E6:K6"/>
    <mergeCell ref="L6:N6"/>
    <mergeCell ref="B7:N7"/>
    <mergeCell ref="A4:C5"/>
    <mergeCell ref="D4:K5"/>
    <mergeCell ref="L4:N4"/>
    <mergeCell ref="L5:N5"/>
    <mergeCell ref="A1:N1"/>
    <mergeCell ref="A2:N2"/>
    <mergeCell ref="A3:L3"/>
    <mergeCell ref="M3:N3"/>
  </mergeCells>
  <printOptions/>
  <pageMargins left="0.3937007874015748" right="0" top="0.3937007874015748" bottom="0.5118110236220472" header="0.5118110236220472" footer="0.5118110236220472"/>
  <pageSetup horizontalDpi="300" verticalDpi="300" orientation="landscape" paperSize="9" scale="85" r:id="rId1"/>
  <rowBreaks count="2" manualBreakCount="2">
    <brk id="38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2015-08-25T03:48:09Z</cp:lastPrinted>
  <dcterms:modified xsi:type="dcterms:W3CDTF">2015-08-25T03:48:10Z</dcterms:modified>
  <cp:category/>
  <cp:version/>
  <cp:contentType/>
  <cp:contentStatus/>
</cp:coreProperties>
</file>